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nitiatives\Total Cost of Ownership\Rosapepe Models Legis 2019\"/>
    </mc:Choice>
  </mc:AlternateContent>
  <bookViews>
    <workbookView xWindow="0" yWindow="0" windowWidth="21600" windowHeight="9600" activeTab="3"/>
  </bookViews>
  <sheets>
    <sheet name="Scenario A" sheetId="1" r:id="rId1"/>
    <sheet name="Scenario B" sheetId="3" r:id="rId2"/>
    <sheet name="Scenario C" sheetId="2" r:id="rId3"/>
    <sheet name="Scenario D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4" l="1"/>
  <c r="K30" i="4"/>
  <c r="K29" i="4"/>
  <c r="K31" i="2"/>
  <c r="K30" i="2"/>
  <c r="K29" i="2"/>
  <c r="K31" i="3"/>
  <c r="K30" i="3"/>
  <c r="K29" i="3"/>
  <c r="K31" i="1"/>
  <c r="K30" i="1"/>
  <c r="K29" i="1"/>
  <c r="G31" i="2" l="1"/>
  <c r="G30" i="2"/>
  <c r="G29" i="2"/>
  <c r="Q31" i="2" l="1"/>
  <c r="P31" i="2"/>
  <c r="M31" i="2"/>
  <c r="H31" i="2"/>
  <c r="D31" i="2"/>
  <c r="C31" i="2"/>
  <c r="Q30" i="2"/>
  <c r="P30" i="2"/>
  <c r="M30" i="2"/>
  <c r="H30" i="2"/>
  <c r="D30" i="2"/>
  <c r="C30" i="2"/>
  <c r="Q29" i="2"/>
  <c r="P29" i="2"/>
  <c r="D29" i="2"/>
  <c r="C29" i="2"/>
  <c r="Q25" i="2"/>
  <c r="P25" i="2"/>
  <c r="K25" i="2"/>
  <c r="E25" i="2"/>
  <c r="G25" i="2" s="1"/>
  <c r="D25" i="2"/>
  <c r="C25" i="2"/>
  <c r="Q24" i="2"/>
  <c r="P24" i="2"/>
  <c r="K24" i="2"/>
  <c r="E24" i="2"/>
  <c r="G24" i="2" s="1"/>
  <c r="D24" i="2"/>
  <c r="C24" i="2"/>
  <c r="Q23" i="2"/>
  <c r="P23" i="2"/>
  <c r="K23" i="2"/>
  <c r="E23" i="2"/>
  <c r="G23" i="2" s="1"/>
  <c r="D23" i="2"/>
  <c r="C23" i="2"/>
  <c r="Q22" i="2"/>
  <c r="P22" i="2"/>
  <c r="K22" i="2"/>
  <c r="E22" i="2"/>
  <c r="G22" i="2" s="1"/>
  <c r="D22" i="2"/>
  <c r="C22" i="2"/>
  <c r="Q21" i="2"/>
  <c r="P21" i="2"/>
  <c r="K21" i="2"/>
  <c r="E21" i="2"/>
  <c r="G21" i="2" s="1"/>
  <c r="D21" i="2"/>
  <c r="C21" i="2"/>
  <c r="Q19" i="2"/>
  <c r="P19" i="2"/>
  <c r="K19" i="2"/>
  <c r="E19" i="2"/>
  <c r="G19" i="2" s="1"/>
  <c r="D19" i="2"/>
  <c r="C19" i="2"/>
  <c r="Q18" i="2"/>
  <c r="P18" i="2"/>
  <c r="K18" i="2"/>
  <c r="E18" i="2"/>
  <c r="G18" i="2" s="1"/>
  <c r="D18" i="2"/>
  <c r="C18" i="2"/>
  <c r="Q17" i="2"/>
  <c r="P17" i="2"/>
  <c r="K17" i="2"/>
  <c r="E17" i="2"/>
  <c r="G17" i="2" s="1"/>
  <c r="D17" i="2"/>
  <c r="C17" i="2"/>
  <c r="D16" i="2"/>
  <c r="C16" i="2"/>
  <c r="Q15" i="2"/>
  <c r="P15" i="2"/>
  <c r="K15" i="2"/>
  <c r="E15" i="2"/>
  <c r="G15" i="2" s="1"/>
  <c r="H15" i="2" s="1"/>
  <c r="D15" i="2"/>
  <c r="C15" i="2"/>
  <c r="Q14" i="2"/>
  <c r="P14" i="2"/>
  <c r="K14" i="2"/>
  <c r="E14" i="2"/>
  <c r="G14" i="2" s="1"/>
  <c r="H14" i="2" s="1"/>
  <c r="D14" i="2"/>
  <c r="C14" i="2"/>
  <c r="Q13" i="2"/>
  <c r="P13" i="2"/>
  <c r="M13" i="2"/>
  <c r="K13" i="2"/>
  <c r="E13" i="2"/>
  <c r="G13" i="2" s="1"/>
  <c r="H13" i="2" s="1"/>
  <c r="D13" i="2"/>
  <c r="C13" i="2"/>
  <c r="Q11" i="2"/>
  <c r="P11" i="2"/>
  <c r="M11" i="2"/>
  <c r="K11" i="2"/>
  <c r="E11" i="2"/>
  <c r="G11" i="2" s="1"/>
  <c r="H11" i="2" s="1"/>
  <c r="D11" i="2"/>
  <c r="C11" i="2"/>
  <c r="D10" i="2"/>
  <c r="C10" i="2"/>
  <c r="Q9" i="2"/>
  <c r="P9" i="2"/>
  <c r="K9" i="2"/>
  <c r="E9" i="2"/>
  <c r="G9" i="2" s="1"/>
  <c r="D9" i="2"/>
  <c r="C9" i="2"/>
  <c r="M15" i="2" l="1"/>
  <c r="M14" i="2"/>
  <c r="N14" i="2" s="1"/>
  <c r="O14" i="2" s="1"/>
  <c r="N11" i="2"/>
  <c r="N13" i="2"/>
  <c r="O13" i="2" s="1"/>
  <c r="N15" i="2"/>
  <c r="R15" i="2" s="1"/>
  <c r="I31" i="2"/>
  <c r="N30" i="2"/>
  <c r="O30" i="2" s="1"/>
  <c r="I30" i="2"/>
  <c r="J30" i="2" s="1"/>
  <c r="N31" i="2"/>
  <c r="O31" i="2" s="1"/>
  <c r="I13" i="2"/>
  <c r="I14" i="2"/>
  <c r="J14" i="2" s="1"/>
  <c r="I11" i="2"/>
  <c r="J11" i="2" s="1"/>
  <c r="I15" i="2"/>
  <c r="J15" i="2" s="1"/>
  <c r="R13" i="2"/>
  <c r="M17" i="2"/>
  <c r="H17" i="2"/>
  <c r="I17" i="2" s="1"/>
  <c r="N17" i="2"/>
  <c r="M19" i="2"/>
  <c r="H19" i="2"/>
  <c r="I19" i="2" s="1"/>
  <c r="N19" i="2"/>
  <c r="M22" i="2"/>
  <c r="N22" i="2" s="1"/>
  <c r="H22" i="2"/>
  <c r="I22" i="2" s="1"/>
  <c r="M24" i="2"/>
  <c r="N24" i="2" s="1"/>
  <c r="H24" i="2"/>
  <c r="I24" i="2" s="1"/>
  <c r="L30" i="2"/>
  <c r="L31" i="2"/>
  <c r="J31" i="2"/>
  <c r="J13" i="2"/>
  <c r="L13" i="2"/>
  <c r="S13" i="2" s="1"/>
  <c r="O15" i="2"/>
  <c r="M18" i="2"/>
  <c r="N18" i="2"/>
  <c r="H18" i="2"/>
  <c r="I18" i="2" s="1"/>
  <c r="M21" i="2"/>
  <c r="N21" i="2" s="1"/>
  <c r="H21" i="2"/>
  <c r="I21" i="2" s="1"/>
  <c r="M23" i="2"/>
  <c r="N23" i="2" s="1"/>
  <c r="H23" i="2"/>
  <c r="I23" i="2" s="1"/>
  <c r="M25" i="2"/>
  <c r="H25" i="2"/>
  <c r="I25" i="2" s="1"/>
  <c r="N25" i="2"/>
  <c r="R30" i="2"/>
  <c r="M9" i="2"/>
  <c r="N9" i="2" s="1"/>
  <c r="H9" i="2"/>
  <c r="I9" i="2" s="1"/>
  <c r="O11" i="2"/>
  <c r="R11" i="2"/>
  <c r="H29" i="2"/>
  <c r="I29" i="2" s="1"/>
  <c r="M29" i="2"/>
  <c r="N29" i="2" s="1"/>
  <c r="Q31" i="4"/>
  <c r="P31" i="4"/>
  <c r="G31" i="4"/>
  <c r="H31" i="4" s="1"/>
  <c r="D31" i="4"/>
  <c r="C31" i="4"/>
  <c r="Q30" i="4"/>
  <c r="P30" i="4"/>
  <c r="G30" i="4"/>
  <c r="M30" i="4" s="1"/>
  <c r="D30" i="4"/>
  <c r="C30" i="4"/>
  <c r="Q29" i="4"/>
  <c r="P29" i="4"/>
  <c r="G29" i="4"/>
  <c r="D29" i="4"/>
  <c r="C29" i="4"/>
  <c r="Q25" i="4"/>
  <c r="P25" i="4"/>
  <c r="K25" i="4"/>
  <c r="E25" i="4"/>
  <c r="G25" i="4" s="1"/>
  <c r="D25" i="4"/>
  <c r="C25" i="4"/>
  <c r="Q24" i="4"/>
  <c r="P24" i="4"/>
  <c r="K24" i="4"/>
  <c r="E24" i="4"/>
  <c r="G24" i="4" s="1"/>
  <c r="D24" i="4"/>
  <c r="C24" i="4"/>
  <c r="Q23" i="4"/>
  <c r="P23" i="4"/>
  <c r="K23" i="4"/>
  <c r="E23" i="4"/>
  <c r="G23" i="4" s="1"/>
  <c r="D23" i="4"/>
  <c r="C23" i="4"/>
  <c r="Q22" i="4"/>
  <c r="P22" i="4"/>
  <c r="K22" i="4"/>
  <c r="E22" i="4"/>
  <c r="G22" i="4" s="1"/>
  <c r="D22" i="4"/>
  <c r="C22" i="4"/>
  <c r="Q21" i="4"/>
  <c r="P21" i="4"/>
  <c r="K21" i="4"/>
  <c r="E21" i="4"/>
  <c r="G21" i="4" s="1"/>
  <c r="D21" i="4"/>
  <c r="C21" i="4"/>
  <c r="Q19" i="4"/>
  <c r="P19" i="4"/>
  <c r="K19" i="4"/>
  <c r="E19" i="4"/>
  <c r="G19" i="4" s="1"/>
  <c r="D19" i="4"/>
  <c r="C19" i="4"/>
  <c r="Q18" i="4"/>
  <c r="P18" i="4"/>
  <c r="K18" i="4"/>
  <c r="E18" i="4"/>
  <c r="G18" i="4" s="1"/>
  <c r="D18" i="4"/>
  <c r="C18" i="4"/>
  <c r="Q17" i="4"/>
  <c r="P17" i="4"/>
  <c r="K17" i="4"/>
  <c r="E17" i="4"/>
  <c r="G17" i="4" s="1"/>
  <c r="D17" i="4"/>
  <c r="C17" i="4"/>
  <c r="D16" i="4"/>
  <c r="C16" i="4"/>
  <c r="Q15" i="4"/>
  <c r="P15" i="4"/>
  <c r="K15" i="4"/>
  <c r="E15" i="4"/>
  <c r="G15" i="4" s="1"/>
  <c r="D15" i="4"/>
  <c r="C15" i="4"/>
  <c r="Q14" i="4"/>
  <c r="P14" i="4"/>
  <c r="K14" i="4"/>
  <c r="E14" i="4"/>
  <c r="G14" i="4" s="1"/>
  <c r="D14" i="4"/>
  <c r="C14" i="4"/>
  <c r="Q13" i="4"/>
  <c r="P13" i="4"/>
  <c r="K13" i="4"/>
  <c r="E13" i="4"/>
  <c r="G13" i="4" s="1"/>
  <c r="D13" i="4"/>
  <c r="C13" i="4"/>
  <c r="Q11" i="4"/>
  <c r="P11" i="4"/>
  <c r="K11" i="4"/>
  <c r="E11" i="4"/>
  <c r="G11" i="4" s="1"/>
  <c r="M11" i="4" s="1"/>
  <c r="D11" i="4"/>
  <c r="C11" i="4"/>
  <c r="D10" i="4"/>
  <c r="C10" i="4"/>
  <c r="Q9" i="4"/>
  <c r="P9" i="4"/>
  <c r="K9" i="4"/>
  <c r="E9" i="4"/>
  <c r="G9" i="4" s="1"/>
  <c r="M9" i="4" s="1"/>
  <c r="D9" i="4"/>
  <c r="C9" i="4"/>
  <c r="Q31" i="3"/>
  <c r="P31" i="3"/>
  <c r="G31" i="3"/>
  <c r="H31" i="3" s="1"/>
  <c r="D31" i="3"/>
  <c r="C31" i="3"/>
  <c r="Q30" i="3"/>
  <c r="P30" i="3"/>
  <c r="G30" i="3"/>
  <c r="H30" i="3" s="1"/>
  <c r="D30" i="3"/>
  <c r="C30" i="3"/>
  <c r="Q29" i="3"/>
  <c r="P29" i="3"/>
  <c r="G29" i="3"/>
  <c r="D29" i="3"/>
  <c r="C29" i="3"/>
  <c r="Q25" i="3"/>
  <c r="P25" i="3"/>
  <c r="K25" i="3"/>
  <c r="E25" i="3"/>
  <c r="G25" i="3" s="1"/>
  <c r="D25" i="3"/>
  <c r="C25" i="3"/>
  <c r="Q24" i="3"/>
  <c r="P24" i="3"/>
  <c r="K24" i="3"/>
  <c r="E24" i="3"/>
  <c r="G24" i="3" s="1"/>
  <c r="D24" i="3"/>
  <c r="C24" i="3"/>
  <c r="Q23" i="3"/>
  <c r="P23" i="3"/>
  <c r="K23" i="3"/>
  <c r="E23" i="3"/>
  <c r="G23" i="3" s="1"/>
  <c r="D23" i="3"/>
  <c r="C23" i="3"/>
  <c r="Q22" i="3"/>
  <c r="P22" i="3"/>
  <c r="K22" i="3"/>
  <c r="E22" i="3"/>
  <c r="G22" i="3" s="1"/>
  <c r="D22" i="3"/>
  <c r="C22" i="3"/>
  <c r="Q21" i="3"/>
  <c r="P21" i="3"/>
  <c r="K21" i="3"/>
  <c r="E21" i="3"/>
  <c r="G21" i="3" s="1"/>
  <c r="D21" i="3"/>
  <c r="C21" i="3"/>
  <c r="Q19" i="3"/>
  <c r="P19" i="3"/>
  <c r="K19" i="3"/>
  <c r="E19" i="3"/>
  <c r="G19" i="3" s="1"/>
  <c r="D19" i="3"/>
  <c r="C19" i="3"/>
  <c r="Q18" i="3"/>
  <c r="P18" i="3"/>
  <c r="K18" i="3"/>
  <c r="E18" i="3"/>
  <c r="G18" i="3" s="1"/>
  <c r="D18" i="3"/>
  <c r="C18" i="3"/>
  <c r="Q17" i="3"/>
  <c r="P17" i="3"/>
  <c r="K17" i="3"/>
  <c r="E17" i="3"/>
  <c r="G17" i="3" s="1"/>
  <c r="D17" i="3"/>
  <c r="C17" i="3"/>
  <c r="D16" i="3"/>
  <c r="C16" i="3"/>
  <c r="Q15" i="3"/>
  <c r="P15" i="3"/>
  <c r="K15" i="3"/>
  <c r="E15" i="3"/>
  <c r="G15" i="3" s="1"/>
  <c r="D15" i="3"/>
  <c r="C15" i="3"/>
  <c r="Q14" i="3"/>
  <c r="P14" i="3"/>
  <c r="K14" i="3"/>
  <c r="E14" i="3"/>
  <c r="G14" i="3" s="1"/>
  <c r="D14" i="3"/>
  <c r="C14" i="3"/>
  <c r="Q13" i="3"/>
  <c r="P13" i="3"/>
  <c r="K13" i="3"/>
  <c r="E13" i="3"/>
  <c r="G13" i="3" s="1"/>
  <c r="D13" i="3"/>
  <c r="C13" i="3"/>
  <c r="Q11" i="3"/>
  <c r="P11" i="3"/>
  <c r="K11" i="3"/>
  <c r="E11" i="3"/>
  <c r="G11" i="3" s="1"/>
  <c r="D11" i="3"/>
  <c r="C11" i="3"/>
  <c r="D10" i="3"/>
  <c r="C10" i="3"/>
  <c r="Q9" i="3"/>
  <c r="P9" i="3"/>
  <c r="K9" i="3"/>
  <c r="E9" i="3"/>
  <c r="G9" i="3" s="1"/>
  <c r="D9" i="3"/>
  <c r="C9" i="3"/>
  <c r="N9" i="4" l="1"/>
  <c r="N11" i="4"/>
  <c r="L14" i="2"/>
  <c r="M30" i="3"/>
  <c r="N30" i="3" s="1"/>
  <c r="O30" i="3" s="1"/>
  <c r="N17" i="3"/>
  <c r="O17" i="3" s="1"/>
  <c r="H30" i="4"/>
  <c r="I30" i="4" s="1"/>
  <c r="L30" i="4" s="1"/>
  <c r="I31" i="4"/>
  <c r="J31" i="4" s="1"/>
  <c r="M31" i="4"/>
  <c r="N31" i="4" s="1"/>
  <c r="R14" i="2"/>
  <c r="L11" i="2"/>
  <c r="I30" i="3"/>
  <c r="J30" i="3" s="1"/>
  <c r="I31" i="3"/>
  <c r="L31" i="3" s="1"/>
  <c r="M31" i="3"/>
  <c r="N31" i="3" s="1"/>
  <c r="N30" i="4"/>
  <c r="O30" i="4" s="1"/>
  <c r="S30" i="2"/>
  <c r="C39" i="2" s="1"/>
  <c r="G39" i="2" s="1"/>
  <c r="R31" i="2"/>
  <c r="S31" i="2" s="1"/>
  <c r="C40" i="2" s="1"/>
  <c r="L15" i="2"/>
  <c r="R21" i="2"/>
  <c r="O21" i="2"/>
  <c r="J9" i="2"/>
  <c r="L9" i="2"/>
  <c r="O23" i="2"/>
  <c r="R23" i="2"/>
  <c r="J29" i="2"/>
  <c r="L29" i="2"/>
  <c r="O22" i="2"/>
  <c r="R22" i="2"/>
  <c r="R29" i="2"/>
  <c r="O29" i="2"/>
  <c r="O24" i="2"/>
  <c r="R24" i="2"/>
  <c r="R25" i="2"/>
  <c r="O25" i="2"/>
  <c r="L25" i="2"/>
  <c r="J25" i="2"/>
  <c r="R19" i="2"/>
  <c r="O19" i="2"/>
  <c r="S11" i="2"/>
  <c r="S15" i="2"/>
  <c r="O18" i="2"/>
  <c r="R18" i="2"/>
  <c r="L22" i="2"/>
  <c r="S22" i="2" s="1"/>
  <c r="J22" i="2"/>
  <c r="J19" i="2"/>
  <c r="L19" i="2"/>
  <c r="S19" i="2" s="1"/>
  <c r="R9" i="2"/>
  <c r="O9" i="2"/>
  <c r="J23" i="2"/>
  <c r="L23" i="2"/>
  <c r="L24" i="2"/>
  <c r="S24" i="2" s="1"/>
  <c r="J24" i="2"/>
  <c r="O17" i="2"/>
  <c r="R17" i="2"/>
  <c r="L18" i="2"/>
  <c r="J18" i="2"/>
  <c r="L17" i="2"/>
  <c r="J17" i="2"/>
  <c r="J21" i="2"/>
  <c r="L21" i="2"/>
  <c r="H15" i="4"/>
  <c r="M15" i="4"/>
  <c r="N15" i="4" s="1"/>
  <c r="M19" i="4"/>
  <c r="H19" i="4"/>
  <c r="I19" i="4" s="1"/>
  <c r="N19" i="4"/>
  <c r="M24" i="4"/>
  <c r="N24" i="4" s="1"/>
  <c r="H24" i="4"/>
  <c r="I24" i="4" s="1"/>
  <c r="L31" i="4"/>
  <c r="R30" i="4"/>
  <c r="M13" i="4"/>
  <c r="N13" i="4" s="1"/>
  <c r="H13" i="4"/>
  <c r="I13" i="4" s="1"/>
  <c r="M17" i="4"/>
  <c r="H17" i="4"/>
  <c r="N17" i="4"/>
  <c r="M22" i="4"/>
  <c r="N22" i="4" s="1"/>
  <c r="H22" i="4"/>
  <c r="I22" i="4" s="1"/>
  <c r="H11" i="4"/>
  <c r="I11" i="4" s="1"/>
  <c r="M14" i="4"/>
  <c r="N14" i="4" s="1"/>
  <c r="H14" i="4"/>
  <c r="I14" i="4" s="1"/>
  <c r="I15" i="4"/>
  <c r="I17" i="4"/>
  <c r="M18" i="4"/>
  <c r="N18" i="4"/>
  <c r="H18" i="4"/>
  <c r="I18" i="4" s="1"/>
  <c r="M21" i="4"/>
  <c r="N21" i="4" s="1"/>
  <c r="H21" i="4"/>
  <c r="I21" i="4" s="1"/>
  <c r="M23" i="4"/>
  <c r="N23" i="4" s="1"/>
  <c r="H23" i="4"/>
  <c r="I23" i="4" s="1"/>
  <c r="M25" i="4"/>
  <c r="H25" i="4"/>
  <c r="I25" i="4" s="1"/>
  <c r="N25" i="4"/>
  <c r="H9" i="4"/>
  <c r="I9" i="4" s="1"/>
  <c r="M29" i="4"/>
  <c r="N29" i="4" s="1"/>
  <c r="H29" i="4"/>
  <c r="I29" i="4" s="1"/>
  <c r="L29" i="4" s="1"/>
  <c r="M11" i="3"/>
  <c r="N11" i="3" s="1"/>
  <c r="M13" i="3"/>
  <c r="N13" i="3" s="1"/>
  <c r="M14" i="3"/>
  <c r="N14" i="3" s="1"/>
  <c r="M15" i="3"/>
  <c r="N15" i="3" s="1"/>
  <c r="M9" i="3"/>
  <c r="N9" i="3" s="1"/>
  <c r="H9" i="3"/>
  <c r="I9" i="3" s="1"/>
  <c r="H11" i="3"/>
  <c r="I11" i="3" s="1"/>
  <c r="H13" i="3"/>
  <c r="I13" i="3" s="1"/>
  <c r="H14" i="3"/>
  <c r="I14" i="3" s="1"/>
  <c r="H15" i="3"/>
  <c r="I15" i="3" s="1"/>
  <c r="M19" i="3"/>
  <c r="N19" i="3"/>
  <c r="H19" i="3"/>
  <c r="I19" i="3" s="1"/>
  <c r="M22" i="3"/>
  <c r="N22" i="3" s="1"/>
  <c r="H22" i="3"/>
  <c r="I22" i="3" s="1"/>
  <c r="M24" i="3"/>
  <c r="N24" i="3" s="1"/>
  <c r="H24" i="3"/>
  <c r="I24" i="3" s="1"/>
  <c r="M17" i="3"/>
  <c r="H17" i="3"/>
  <c r="I17" i="3" s="1"/>
  <c r="M18" i="3"/>
  <c r="H18" i="3"/>
  <c r="I18" i="3" s="1"/>
  <c r="N18" i="3"/>
  <c r="M21" i="3"/>
  <c r="N21" i="3" s="1"/>
  <c r="H21" i="3"/>
  <c r="I21" i="3" s="1"/>
  <c r="M23" i="3"/>
  <c r="N23" i="3" s="1"/>
  <c r="H23" i="3"/>
  <c r="I23" i="3" s="1"/>
  <c r="M25" i="3"/>
  <c r="N25" i="3" s="1"/>
  <c r="H25" i="3"/>
  <c r="I25" i="3" s="1"/>
  <c r="H29" i="3"/>
  <c r="I29" i="3" s="1"/>
  <c r="M29" i="3"/>
  <c r="N29" i="3" s="1"/>
  <c r="S25" i="2" l="1"/>
  <c r="S14" i="2"/>
  <c r="L30" i="3"/>
  <c r="R30" i="3"/>
  <c r="S30" i="3" s="1"/>
  <c r="C39" i="3" s="1"/>
  <c r="R17" i="3"/>
  <c r="J30" i="4"/>
  <c r="R31" i="3"/>
  <c r="S31" i="3" s="1"/>
  <c r="C40" i="3" s="1"/>
  <c r="O31" i="3"/>
  <c r="R31" i="4"/>
  <c r="O31" i="4"/>
  <c r="S31" i="4"/>
  <c r="C40" i="4" s="1"/>
  <c r="G40" i="4" s="1"/>
  <c r="J31" i="3"/>
  <c r="S29" i="2"/>
  <c r="C38" i="2" s="1"/>
  <c r="G38" i="2" s="1"/>
  <c r="S23" i="2"/>
  <c r="S9" i="2"/>
  <c r="S21" i="2"/>
  <c r="S18" i="2"/>
  <c r="G40" i="2"/>
  <c r="S17" i="2"/>
  <c r="R29" i="4"/>
  <c r="O29" i="4"/>
  <c r="L23" i="4"/>
  <c r="J23" i="4"/>
  <c r="L14" i="4"/>
  <c r="J14" i="4"/>
  <c r="O11" i="4"/>
  <c r="R11" i="4"/>
  <c r="O22" i="4"/>
  <c r="R22" i="4"/>
  <c r="R9" i="4"/>
  <c r="O9" i="4"/>
  <c r="L11" i="4"/>
  <c r="J11" i="4"/>
  <c r="O13" i="4"/>
  <c r="R13" i="4"/>
  <c r="O15" i="4"/>
  <c r="R15" i="4"/>
  <c r="J29" i="4"/>
  <c r="S29" i="4"/>
  <c r="C38" i="4" s="1"/>
  <c r="L18" i="4"/>
  <c r="J18" i="4"/>
  <c r="L24" i="4"/>
  <c r="J24" i="4"/>
  <c r="L22" i="4"/>
  <c r="J22" i="4"/>
  <c r="J19" i="4"/>
  <c r="L19" i="4"/>
  <c r="J17" i="4"/>
  <c r="L17" i="4"/>
  <c r="O14" i="4"/>
  <c r="R14" i="4"/>
  <c r="L25" i="4"/>
  <c r="J25" i="4"/>
  <c r="L21" i="4"/>
  <c r="J21" i="4"/>
  <c r="O25" i="4"/>
  <c r="R25" i="4"/>
  <c r="O23" i="4"/>
  <c r="R23" i="4"/>
  <c r="J15" i="4"/>
  <c r="L15" i="4"/>
  <c r="S15" i="4" s="1"/>
  <c r="L13" i="4"/>
  <c r="J13" i="4"/>
  <c r="J9" i="4"/>
  <c r="L9" i="4"/>
  <c r="S30" i="4"/>
  <c r="C39" i="4" s="1"/>
  <c r="O24" i="4"/>
  <c r="R24" i="4"/>
  <c r="R19" i="4"/>
  <c r="O19" i="4"/>
  <c r="O21" i="4"/>
  <c r="R21" i="4"/>
  <c r="O18" i="4"/>
  <c r="R18" i="4"/>
  <c r="R17" i="4"/>
  <c r="O17" i="4"/>
  <c r="R29" i="3"/>
  <c r="O29" i="3"/>
  <c r="L21" i="3"/>
  <c r="J21" i="3"/>
  <c r="J18" i="3"/>
  <c r="L18" i="3"/>
  <c r="J13" i="3"/>
  <c r="L13" i="3"/>
  <c r="O15" i="3"/>
  <c r="R15" i="3"/>
  <c r="J29" i="3"/>
  <c r="L29" i="3"/>
  <c r="L24" i="3"/>
  <c r="J24" i="3"/>
  <c r="J22" i="3"/>
  <c r="L22" i="3"/>
  <c r="O14" i="3"/>
  <c r="R14" i="3"/>
  <c r="L23" i="3"/>
  <c r="J23" i="3"/>
  <c r="L17" i="3"/>
  <c r="J17" i="3"/>
  <c r="J15" i="3"/>
  <c r="L15" i="3"/>
  <c r="J9" i="3"/>
  <c r="L9" i="3"/>
  <c r="O13" i="3"/>
  <c r="R13" i="3"/>
  <c r="J25" i="3"/>
  <c r="L25" i="3"/>
  <c r="L19" i="3"/>
  <c r="J19" i="3"/>
  <c r="J14" i="3"/>
  <c r="L14" i="3"/>
  <c r="S14" i="3" s="1"/>
  <c r="R9" i="3"/>
  <c r="O9" i="3"/>
  <c r="O11" i="3"/>
  <c r="R11" i="3"/>
  <c r="O21" i="3"/>
  <c r="R21" i="3"/>
  <c r="R24" i="3"/>
  <c r="O24" i="3"/>
  <c r="O19" i="3"/>
  <c r="R19" i="3"/>
  <c r="R25" i="3"/>
  <c r="O25" i="3"/>
  <c r="O23" i="3"/>
  <c r="R23" i="3"/>
  <c r="O18" i="3"/>
  <c r="R18" i="3"/>
  <c r="J11" i="3"/>
  <c r="L11" i="3"/>
  <c r="O22" i="3"/>
  <c r="R22" i="3"/>
  <c r="S25" i="3" l="1"/>
  <c r="S17" i="3"/>
  <c r="S11" i="3"/>
  <c r="S15" i="3"/>
  <c r="S22" i="3"/>
  <c r="S29" i="3"/>
  <c r="C38" i="3" s="1"/>
  <c r="S9" i="4"/>
  <c r="S23" i="4"/>
  <c r="S19" i="4"/>
  <c r="G38" i="4"/>
  <c r="S25" i="4"/>
  <c r="S24" i="4"/>
  <c r="S17" i="4"/>
  <c r="G39" i="4"/>
  <c r="S13" i="4"/>
  <c r="S21" i="4"/>
  <c r="S22" i="4"/>
  <c r="S18" i="4"/>
  <c r="S11" i="4"/>
  <c r="S14" i="4"/>
  <c r="G40" i="3"/>
  <c r="G38" i="3"/>
  <c r="S13" i="3"/>
  <c r="G39" i="3"/>
  <c r="S19" i="3"/>
  <c r="S23" i="3"/>
  <c r="S21" i="3"/>
  <c r="S9" i="3"/>
  <c r="S18" i="3"/>
  <c r="S24" i="3"/>
  <c r="Q31" i="1" l="1"/>
  <c r="P31" i="1"/>
  <c r="M31" i="1"/>
  <c r="G31" i="1"/>
  <c r="H31" i="1" s="1"/>
  <c r="D31" i="1"/>
  <c r="C31" i="1"/>
  <c r="I31" i="1" s="1"/>
  <c r="Q30" i="1"/>
  <c r="P30" i="1"/>
  <c r="G30" i="1"/>
  <c r="H30" i="1" s="1"/>
  <c r="D30" i="1"/>
  <c r="C30" i="1"/>
  <c r="Q29" i="1"/>
  <c r="P29" i="1"/>
  <c r="G29" i="1"/>
  <c r="D29" i="1"/>
  <c r="C29" i="1"/>
  <c r="Q25" i="1"/>
  <c r="P25" i="1"/>
  <c r="K25" i="1"/>
  <c r="E25" i="1"/>
  <c r="G25" i="1" s="1"/>
  <c r="D25" i="1"/>
  <c r="C25" i="1"/>
  <c r="Q24" i="1"/>
  <c r="P24" i="1"/>
  <c r="K24" i="1"/>
  <c r="E24" i="1"/>
  <c r="G24" i="1" s="1"/>
  <c r="D24" i="1"/>
  <c r="C24" i="1"/>
  <c r="Q23" i="1"/>
  <c r="P23" i="1"/>
  <c r="K23" i="1"/>
  <c r="E23" i="1"/>
  <c r="G23" i="1" s="1"/>
  <c r="D23" i="1"/>
  <c r="C23" i="1"/>
  <c r="Q22" i="1"/>
  <c r="P22" i="1"/>
  <c r="K22" i="1"/>
  <c r="E22" i="1"/>
  <c r="G22" i="1" s="1"/>
  <c r="D22" i="1"/>
  <c r="C22" i="1"/>
  <c r="Q21" i="1"/>
  <c r="P21" i="1"/>
  <c r="K21" i="1"/>
  <c r="E21" i="1"/>
  <c r="G21" i="1" s="1"/>
  <c r="D21" i="1"/>
  <c r="C21" i="1"/>
  <c r="Q19" i="1"/>
  <c r="P19" i="1"/>
  <c r="K19" i="1"/>
  <c r="E19" i="1"/>
  <c r="G19" i="1" s="1"/>
  <c r="D19" i="1"/>
  <c r="C19" i="1"/>
  <c r="Q18" i="1"/>
  <c r="P18" i="1"/>
  <c r="K18" i="1"/>
  <c r="E18" i="1"/>
  <c r="G18" i="1" s="1"/>
  <c r="D18" i="1"/>
  <c r="C18" i="1"/>
  <c r="Q17" i="1"/>
  <c r="P17" i="1"/>
  <c r="K17" i="1"/>
  <c r="E17" i="1"/>
  <c r="G17" i="1" s="1"/>
  <c r="D17" i="1"/>
  <c r="C17" i="1"/>
  <c r="D16" i="1"/>
  <c r="C16" i="1"/>
  <c r="Q15" i="1"/>
  <c r="P15" i="1"/>
  <c r="K15" i="1"/>
  <c r="E15" i="1"/>
  <c r="G15" i="1" s="1"/>
  <c r="D15" i="1"/>
  <c r="C15" i="1"/>
  <c r="Q14" i="1"/>
  <c r="P14" i="1"/>
  <c r="K14" i="1"/>
  <c r="E14" i="1"/>
  <c r="G14" i="1" s="1"/>
  <c r="D14" i="1"/>
  <c r="C14" i="1"/>
  <c r="Q13" i="1"/>
  <c r="P13" i="1"/>
  <c r="K13" i="1"/>
  <c r="E13" i="1"/>
  <c r="G13" i="1" s="1"/>
  <c r="H13" i="1" s="1"/>
  <c r="D13" i="1"/>
  <c r="C13" i="1"/>
  <c r="Q11" i="1"/>
  <c r="P11" i="1"/>
  <c r="K11" i="1"/>
  <c r="E11" i="1"/>
  <c r="G11" i="1" s="1"/>
  <c r="H11" i="1" s="1"/>
  <c r="D11" i="1"/>
  <c r="C11" i="1"/>
  <c r="D10" i="1"/>
  <c r="C10" i="1"/>
  <c r="Q9" i="1"/>
  <c r="P9" i="1"/>
  <c r="K9" i="1"/>
  <c r="E9" i="1"/>
  <c r="G9" i="1" s="1"/>
  <c r="D9" i="1"/>
  <c r="C9" i="1"/>
  <c r="I30" i="1" l="1"/>
  <c r="L30" i="1" s="1"/>
  <c r="I13" i="1"/>
  <c r="L13" i="1" s="1"/>
  <c r="I11" i="1"/>
  <c r="J11" i="1" s="1"/>
  <c r="M14" i="1"/>
  <c r="N14" i="1" s="1"/>
  <c r="H14" i="1"/>
  <c r="I14" i="1" s="1"/>
  <c r="M18" i="1"/>
  <c r="H18" i="1"/>
  <c r="I18" i="1" s="1"/>
  <c r="N18" i="1"/>
  <c r="M21" i="1"/>
  <c r="N21" i="1" s="1"/>
  <c r="H21" i="1"/>
  <c r="I21" i="1" s="1"/>
  <c r="M23" i="1"/>
  <c r="N23" i="1" s="1"/>
  <c r="H23" i="1"/>
  <c r="I23" i="1" s="1"/>
  <c r="M25" i="1"/>
  <c r="N25" i="1"/>
  <c r="H25" i="1"/>
  <c r="L31" i="1"/>
  <c r="J31" i="1"/>
  <c r="L11" i="1"/>
  <c r="H15" i="1"/>
  <c r="I15" i="1" s="1"/>
  <c r="M15" i="1"/>
  <c r="N15" i="1" s="1"/>
  <c r="M17" i="1"/>
  <c r="N17" i="1"/>
  <c r="H17" i="1"/>
  <c r="I17" i="1" s="1"/>
  <c r="M19" i="1"/>
  <c r="H19" i="1"/>
  <c r="I19" i="1" s="1"/>
  <c r="N19" i="1"/>
  <c r="M22" i="1"/>
  <c r="N22" i="1" s="1"/>
  <c r="H22" i="1"/>
  <c r="I22" i="1" s="1"/>
  <c r="M24" i="1"/>
  <c r="N24" i="1" s="1"/>
  <c r="H24" i="1"/>
  <c r="I24" i="1" s="1"/>
  <c r="I25" i="1"/>
  <c r="J30" i="1"/>
  <c r="N9" i="1"/>
  <c r="H9" i="1"/>
  <c r="I9" i="1" s="1"/>
  <c r="M11" i="1"/>
  <c r="N11" i="1" s="1"/>
  <c r="M13" i="1"/>
  <c r="N13" i="1" s="1"/>
  <c r="H29" i="1"/>
  <c r="I29" i="1" s="1"/>
  <c r="M30" i="1"/>
  <c r="N30" i="1" s="1"/>
  <c r="N31" i="1"/>
  <c r="M9" i="1"/>
  <c r="M29" i="1"/>
  <c r="N29" i="1" s="1"/>
  <c r="J13" i="1" l="1"/>
  <c r="L18" i="1"/>
  <c r="J18" i="1"/>
  <c r="O21" i="1"/>
  <c r="R21" i="1"/>
  <c r="L23" i="1"/>
  <c r="J23" i="1"/>
  <c r="R24" i="1"/>
  <c r="O24" i="1"/>
  <c r="L21" i="1"/>
  <c r="J21" i="1"/>
  <c r="O30" i="1"/>
  <c r="R30" i="1"/>
  <c r="J9" i="1"/>
  <c r="L9" i="1"/>
  <c r="L22" i="1"/>
  <c r="S22" i="1" s="1"/>
  <c r="J22" i="1"/>
  <c r="O15" i="1"/>
  <c r="R15" i="1"/>
  <c r="J29" i="1"/>
  <c r="L29" i="1"/>
  <c r="O22" i="1"/>
  <c r="R22" i="1"/>
  <c r="L17" i="1"/>
  <c r="J17" i="1"/>
  <c r="J15" i="1"/>
  <c r="L15" i="1"/>
  <c r="S15" i="1" s="1"/>
  <c r="O13" i="1"/>
  <c r="R13" i="1"/>
  <c r="S13" i="1" s="1"/>
  <c r="L24" i="1"/>
  <c r="J24" i="1"/>
  <c r="R23" i="1"/>
  <c r="O23" i="1"/>
  <c r="O14" i="1"/>
  <c r="R14" i="1"/>
  <c r="R29" i="1"/>
  <c r="O29" i="1"/>
  <c r="J14" i="1"/>
  <c r="L14" i="1"/>
  <c r="S14" i="1" s="1"/>
  <c r="O11" i="1"/>
  <c r="R11" i="1"/>
  <c r="S11" i="1" s="1"/>
  <c r="R25" i="1"/>
  <c r="O25" i="1"/>
  <c r="R9" i="1"/>
  <c r="O9" i="1"/>
  <c r="L25" i="1"/>
  <c r="S25" i="1" s="1"/>
  <c r="J25" i="1"/>
  <c r="S30" i="1"/>
  <c r="C39" i="1" s="1"/>
  <c r="R19" i="1"/>
  <c r="O19" i="1"/>
  <c r="L19" i="1"/>
  <c r="J19" i="1"/>
  <c r="O31" i="1"/>
  <c r="R31" i="1"/>
  <c r="S31" i="1" s="1"/>
  <c r="C40" i="1" s="1"/>
  <c r="R17" i="1"/>
  <c r="O17" i="1"/>
  <c r="R18" i="1"/>
  <c r="O18" i="1"/>
  <c r="S29" i="1" l="1"/>
  <c r="C38" i="1" s="1"/>
  <c r="G38" i="1" s="1"/>
  <c r="S19" i="1"/>
  <c r="S17" i="1"/>
  <c r="G40" i="1"/>
  <c r="G39" i="1"/>
  <c r="S9" i="1"/>
  <c r="S24" i="1"/>
  <c r="S21" i="1"/>
  <c r="S23" i="1"/>
  <c r="S18" i="1"/>
</calcChain>
</file>

<file path=xl/sharedStrings.xml><?xml version="1.0" encoding="utf-8"?>
<sst xmlns="http://schemas.openxmlformats.org/spreadsheetml/2006/main" count="364" uniqueCount="89">
  <si>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</si>
  <si>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</si>
  <si>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</si>
  <si>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</si>
  <si>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</si>
  <si>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</si>
  <si>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</si>
  <si>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</si>
  <si>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</si>
  <si>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</si>
  <si>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</si>
  <si>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</si>
  <si>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</si>
  <si>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</si>
  <si>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Baseline</t>
  </si>
  <si>
    <t xml:space="preserve">State Savings On Construction </t>
  </si>
  <si>
    <t xml:space="preserve">% State Savings On Construction </t>
  </si>
  <si>
    <t>For State</t>
  </si>
  <si>
    <t>For LEA</t>
  </si>
  <si>
    <t xml:space="preserve">Scenario D: </t>
  </si>
  <si>
    <t>Adjusted State Share of Construction</t>
  </si>
  <si>
    <t>Total Cost of Ownership (TCO) for the Facility</t>
  </si>
  <si>
    <t>LEA Share of Baseline Construction Cost w/Site</t>
  </si>
  <si>
    <t>State Share of Baseline Construction Cost w/ Site</t>
  </si>
  <si>
    <r>
      <rPr>
        <u/>
        <sz val="11"/>
        <color theme="1"/>
        <rFont val="Calibri"/>
        <family val="2"/>
        <scheme val="minor"/>
      </rPr>
      <t xml:space="preserve">Proposed </t>
    </r>
    <r>
      <rPr>
        <sz val="11"/>
        <color theme="1"/>
        <rFont val="Calibri"/>
        <family val="2"/>
        <scheme val="minor"/>
      </rPr>
      <t>TCO for the Facility</t>
    </r>
  </si>
  <si>
    <t>TCO Cost Reduction Percentage</t>
  </si>
  <si>
    <t>A x .45 x B</t>
  </si>
  <si>
    <t>A x .45 x (1-B)</t>
  </si>
  <si>
    <t>Proposed With Incentive</t>
  </si>
  <si>
    <t>C - H</t>
  </si>
  <si>
    <t>I/A</t>
  </si>
  <si>
    <t>I+K</t>
  </si>
  <si>
    <t>State Share % of Constr/Systemics for the County</t>
  </si>
  <si>
    <t>Adjusted State Share Percentage</t>
  </si>
  <si>
    <t>E(mod)+B</t>
  </si>
  <si>
    <t>(1-G) x .45F unless G&gt;100%</t>
  </si>
  <si>
    <t>Adjusted LEA Share</t>
  </si>
  <si>
    <t>LEA Savings on Construction</t>
  </si>
  <si>
    <t xml:space="preserve">% LEA Savings On Construction </t>
  </si>
  <si>
    <t>D-M unless G&gt;100% then D</t>
  </si>
  <si>
    <t>Est. 
Reduced LEA Cost of Systemics over 30 years</t>
  </si>
  <si>
    <t>Est.
Reduced State Cost of Systemics over 30 years</t>
  </si>
  <si>
    <t>Est. Net State TCO Savings over 30 years</t>
  </si>
  <si>
    <t>Est.
Reduced LEA Cost of Maint &amp; Ops. over 30 years</t>
  </si>
  <si>
    <t>N/D</t>
  </si>
  <si>
    <t>Est. LEA TCO Savings over 30 years</t>
  </si>
  <si>
    <t>N+P+Q</t>
  </si>
  <si>
    <t>Est. Net TCO Savings (State+LEA)over 30 years</t>
  </si>
  <si>
    <t>L+R</t>
  </si>
  <si>
    <t>Combined</t>
  </si>
  <si>
    <t>$45,000,000 Project Construction Cost</t>
  </si>
  <si>
    <t>O</t>
  </si>
  <si>
    <t>P</t>
  </si>
  <si>
    <t>Q</t>
  </si>
  <si>
    <t>R</t>
  </si>
  <si>
    <t>S</t>
  </si>
  <si>
    <t xml:space="preserve">150M GSF x $379/sf = </t>
  </si>
  <si>
    <t xml:space="preserve">Notes: 1) Baseline construction is 45% of TCO; 2) State share average is an assumption; 3) All numbers x 1,000; </t>
  </si>
  <si>
    <r>
      <t xml:space="preserve">&lt; --Estimated total </t>
    </r>
    <r>
      <rPr>
        <b/>
        <sz val="11"/>
        <color theme="1"/>
        <rFont val="Calibri"/>
        <family val="2"/>
        <scheme val="minor"/>
      </rPr>
      <t>Statewide school facilities portfolio replacement value</t>
    </r>
  </si>
  <si>
    <r>
      <rPr>
        <sz val="12"/>
        <color theme="1"/>
        <rFont val="Calibri"/>
        <family val="2"/>
        <scheme val="minor"/>
      </rPr>
      <t>Scenario D</t>
    </r>
    <r>
      <rPr>
        <sz val="11"/>
        <color theme="1"/>
        <rFont val="Calibri"/>
        <family val="2"/>
        <scheme val="minor"/>
      </rPr>
      <t xml:space="preserve"> - E</t>
    </r>
    <r>
      <rPr>
        <u/>
        <sz val="11"/>
        <color theme="1"/>
        <rFont val="Calibri"/>
        <family val="2"/>
        <scheme val="minor"/>
      </rPr>
      <t xml:space="preserve">stimated 30-year </t>
    </r>
    <r>
      <rPr>
        <b/>
        <u/>
        <sz val="11"/>
        <color theme="1"/>
        <rFont val="Calibri"/>
        <family val="2"/>
        <scheme val="minor"/>
      </rPr>
      <t>State and Counties savings</t>
    </r>
    <r>
      <rPr>
        <sz val="11"/>
        <color theme="1"/>
        <rFont val="Calibri"/>
        <family val="2"/>
        <scheme val="minor"/>
      </rPr>
      <t xml:space="preserve"> (cost avoidance) what-if for entire Statewide School Facilities Portfolio </t>
    </r>
  </si>
  <si>
    <t>State Share %</t>
  </si>
  <si>
    <r>
      <t xml:space="preserve">Assumptions:  </t>
    </r>
    <r>
      <rPr>
        <b/>
        <sz val="12"/>
        <color theme="1"/>
        <rFont val="Calibri"/>
        <family val="2"/>
        <scheme val="minor"/>
      </rPr>
      <t>Baseline Project Construction Cost is $45M</t>
    </r>
    <r>
      <rPr>
        <sz val="12"/>
        <color theme="1"/>
        <rFont val="Calibri"/>
        <family val="2"/>
        <scheme val="minor"/>
      </rPr>
      <t xml:space="preserve"> or 45% of TCO Baseline [Middle School, w/915 students, $49,195/student (IAC Cost w/site is $379/SF)].  TCO is project cost plus 30 years of M&amp;O including systemics.
M&amp;O baseline is project cost times 2% per year for systemics (capital maintenance) plus 2% per year for routine M&amp;O (heat, cool, custodial, routine-emergent-preventive maintenance, grounds maint, etc.)</t>
    </r>
  </si>
  <si>
    <t>Years</t>
  </si>
  <si>
    <r>
      <rPr>
        <sz val="12"/>
        <color theme="1"/>
        <rFont val="Calibri"/>
        <family val="2"/>
        <scheme val="minor"/>
      </rPr>
      <t>Scenario D</t>
    </r>
    <r>
      <rPr>
        <sz val="11"/>
        <color theme="1"/>
        <rFont val="Calibri"/>
        <family val="2"/>
        <scheme val="minor"/>
      </rPr>
      <t xml:space="preserve"> - State and Counties estimated 30-year future value of savings (cost avoidance) at 4% per year construction cost escalation and with .  </t>
    </r>
  </si>
  <si>
    <t>Const Cost Escalation
 %</t>
  </si>
  <si>
    <t>Present Value of TCO Savings</t>
  </si>
  <si>
    <t>TCO
Reduction</t>
  </si>
  <si>
    <t>Future Value
 w/Const Escalation</t>
  </si>
  <si>
    <t xml:space="preserve">Scenario A: </t>
  </si>
  <si>
    <r>
      <rPr>
        <sz val="12"/>
        <color theme="1"/>
        <rFont val="Calibri"/>
        <family val="2"/>
        <scheme val="minor"/>
      </rPr>
      <t>Scenario A</t>
    </r>
    <r>
      <rPr>
        <sz val="11"/>
        <color theme="1"/>
        <rFont val="Calibri"/>
        <family val="2"/>
        <scheme val="minor"/>
      </rPr>
      <t xml:space="preserve"> - E</t>
    </r>
    <r>
      <rPr>
        <u/>
        <sz val="11"/>
        <color theme="1"/>
        <rFont val="Calibri"/>
        <family val="2"/>
        <scheme val="minor"/>
      </rPr>
      <t xml:space="preserve">stimated 30-year </t>
    </r>
    <r>
      <rPr>
        <b/>
        <u/>
        <sz val="11"/>
        <color theme="1"/>
        <rFont val="Calibri"/>
        <family val="2"/>
        <scheme val="minor"/>
      </rPr>
      <t>State and Counties savings</t>
    </r>
    <r>
      <rPr>
        <sz val="11"/>
        <color theme="1"/>
        <rFont val="Calibri"/>
        <family val="2"/>
        <scheme val="minor"/>
      </rPr>
      <t xml:space="preserve"> (cost avoidance) what-if for entire Statewide School Facilities Portfolio </t>
    </r>
  </si>
  <si>
    <r>
      <rPr>
        <sz val="12"/>
        <color theme="1"/>
        <rFont val="Calibri"/>
        <family val="2"/>
        <scheme val="minor"/>
      </rPr>
      <t>Scenario A</t>
    </r>
    <r>
      <rPr>
        <sz val="11"/>
        <color theme="1"/>
        <rFont val="Calibri"/>
        <family val="2"/>
        <scheme val="minor"/>
      </rPr>
      <t xml:space="preserve"> - State and Counties estimated 30-year future value of savings (cost avoidance) at 4% per year construction cost escalation and with .  </t>
    </r>
  </si>
  <si>
    <t xml:space="preserve">Scenario B: </t>
  </si>
  <si>
    <r>
      <rPr>
        <sz val="12"/>
        <color theme="1"/>
        <rFont val="Calibri"/>
        <family val="2"/>
        <scheme val="minor"/>
      </rPr>
      <t>Scenario B</t>
    </r>
    <r>
      <rPr>
        <sz val="11"/>
        <color theme="1"/>
        <rFont val="Calibri"/>
        <family val="2"/>
        <scheme val="minor"/>
      </rPr>
      <t xml:space="preserve"> - E</t>
    </r>
    <r>
      <rPr>
        <u/>
        <sz val="11"/>
        <color theme="1"/>
        <rFont val="Calibri"/>
        <family val="2"/>
        <scheme val="minor"/>
      </rPr>
      <t xml:space="preserve">stimated 30-year </t>
    </r>
    <r>
      <rPr>
        <b/>
        <u/>
        <sz val="11"/>
        <color theme="1"/>
        <rFont val="Calibri"/>
        <family val="2"/>
        <scheme val="minor"/>
      </rPr>
      <t>State and Counties savings</t>
    </r>
    <r>
      <rPr>
        <sz val="11"/>
        <color theme="1"/>
        <rFont val="Calibri"/>
        <family val="2"/>
        <scheme val="minor"/>
      </rPr>
      <t xml:space="preserve"> (cost avoidance) what-if for entire Statewide School Facilities Portfolio </t>
    </r>
  </si>
  <si>
    <r>
      <rPr>
        <sz val="12"/>
        <color theme="1"/>
        <rFont val="Calibri"/>
        <family val="2"/>
        <scheme val="minor"/>
      </rPr>
      <t>Scenario B</t>
    </r>
    <r>
      <rPr>
        <sz val="11"/>
        <color theme="1"/>
        <rFont val="Calibri"/>
        <family val="2"/>
        <scheme val="minor"/>
      </rPr>
      <t xml:space="preserve"> - State and Counties estimated 30-year future value of savings (cost avoidance) at 4% per year construction cost escalation and with .  </t>
    </r>
  </si>
  <si>
    <t>E + B</t>
  </si>
  <si>
    <t>E(.75)+B</t>
  </si>
  <si>
    <t>(.02 x .45A x 30 x B) - (.02 x .45F x 30 x B)</t>
  </si>
  <si>
    <t>(.02 x .45A x 30 x (1-B)) - (.02 x .45F x 30 x (1-B))</t>
  </si>
  <si>
    <t>(.02 x .45A x 30) - (.02 x .45F x 30)</t>
  </si>
  <si>
    <t>(.02 x .45A x 30) - (.02 x .F5E x 30)</t>
  </si>
  <si>
    <t>(.02 x .45A x 30) - (.02 x .F45 x 30)</t>
  </si>
  <si>
    <t xml:space="preserve">Scenario C: </t>
  </si>
  <si>
    <r>
      <rPr>
        <sz val="12"/>
        <color theme="1"/>
        <rFont val="Calibri"/>
        <family val="2"/>
        <scheme val="minor"/>
      </rPr>
      <t>Scenario C</t>
    </r>
    <r>
      <rPr>
        <sz val="11"/>
        <color theme="1"/>
        <rFont val="Calibri"/>
        <family val="2"/>
        <scheme val="minor"/>
      </rPr>
      <t xml:space="preserve"> - E</t>
    </r>
    <r>
      <rPr>
        <u/>
        <sz val="11"/>
        <color theme="1"/>
        <rFont val="Calibri"/>
        <family val="2"/>
        <scheme val="minor"/>
      </rPr>
      <t xml:space="preserve">stimated 30-year </t>
    </r>
    <r>
      <rPr>
        <b/>
        <u/>
        <sz val="11"/>
        <color theme="1"/>
        <rFont val="Calibri"/>
        <family val="2"/>
        <scheme val="minor"/>
      </rPr>
      <t>State and Counties savings</t>
    </r>
    <r>
      <rPr>
        <sz val="11"/>
        <color theme="1"/>
        <rFont val="Calibri"/>
        <family val="2"/>
        <scheme val="minor"/>
      </rPr>
      <t xml:space="preserve"> (cost avoidance) what-if for entire Statewide School Facilities Portfolio </t>
    </r>
  </si>
  <si>
    <r>
      <rPr>
        <sz val="12"/>
        <color theme="1"/>
        <rFont val="Calibri"/>
        <family val="2"/>
        <scheme val="minor"/>
      </rPr>
      <t>Scenario C</t>
    </r>
    <r>
      <rPr>
        <sz val="11"/>
        <color theme="1"/>
        <rFont val="Calibri"/>
        <family val="2"/>
        <scheme val="minor"/>
      </rPr>
      <t xml:space="preserve"> - State and Counties estimated 30-year future value of savings (cost avoidance) at 4% per year construction cost escalation and with .  </t>
    </r>
  </si>
  <si>
    <t xml:space="preserve">.45F x G
unless G&gt;100%
then .45F </t>
  </si>
  <si>
    <t>3/4% SAVINGS INCENTIVE for each 1% REDUCTION.  
No State Percentages above 100%.</t>
  </si>
  <si>
    <t>1% SAVINGS INCENTIVE for each 1% REDUCTION.  
No State Percentages above 100%.</t>
  </si>
  <si>
    <t>3/4% SAVINGS INCENTIVE for each 1% REDUCTION (except, for LEAs with state share of 89% or more, a 1% savings incentive up to 100%). 
No State Percentages above 100%.</t>
  </si>
  <si>
    <t>3/4% SAVINGS INCENTIVE for each 1% REDUCTION (except, for LEAs with state share of 89% or more, a 1% savings incentive up to 100%) 
PLUS 1/2% ADDITIONAL SAVINGS for reductions of 30% or more.  No State Percentages above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</si>
</sst>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"/>
    <numFmt numFmtId="167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3" xfId="0" applyBorder="1"/>
    <xf numFmtId="164" fontId="0" fillId="0" borderId="0" xfId="1" applyNumberFormat="1" applyFont="1" applyBorder="1"/>
    <xf numFmtId="9" fontId="0" fillId="0" borderId="0" xfId="2" applyFont="1" applyFill="1" applyBorder="1" applyAlignment="1">
      <alignment horizontal="center"/>
    </xf>
    <xf numFmtId="164" fontId="0" fillId="0" borderId="0" xfId="0" applyNumberFormat="1" applyBorder="1"/>
    <xf numFmtId="164" fontId="0" fillId="0" borderId="0" xfId="1" applyNumberFormat="1" applyFont="1" applyFill="1" applyBorder="1" applyAlignment="1">
      <alignment horizontal="center"/>
    </xf>
    <xf numFmtId="10" fontId="0" fillId="0" borderId="0" xfId="0" applyNumberFormat="1" applyBorder="1"/>
    <xf numFmtId="9" fontId="0" fillId="3" borderId="0" xfId="2" applyFont="1" applyFill="1" applyBorder="1" applyAlignment="1">
      <alignment horizontal="center"/>
    </xf>
    <xf numFmtId="165" fontId="0" fillId="0" borderId="0" xfId="2" applyNumberFormat="1" applyFont="1" applyBorder="1"/>
    <xf numFmtId="164" fontId="0" fillId="0" borderId="6" xfId="1" applyNumberFormat="1" applyFont="1" applyBorder="1"/>
    <xf numFmtId="9" fontId="0" fillId="3" borderId="6" xfId="2" applyFont="1" applyFill="1" applyBorder="1" applyAlignment="1">
      <alignment horizontal="center"/>
    </xf>
    <xf numFmtId="0" fontId="0" fillId="0" borderId="6" xfId="0" applyBorder="1"/>
    <xf numFmtId="10" fontId="0" fillId="0" borderId="6" xfId="0" applyNumberFormat="1" applyBorder="1"/>
    <xf numFmtId="164" fontId="0" fillId="0" borderId="3" xfId="0" applyNumberFormat="1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2" xfId="0" applyBorder="1" applyAlignment="1">
      <alignment horizontal="center"/>
    </xf>
    <xf numFmtId="10" fontId="0" fillId="0" borderId="3" xfId="2" applyNumberFormat="1" applyFont="1" applyBorder="1"/>
    <xf numFmtId="10" fontId="0" fillId="0" borderId="3" xfId="2" applyNumberFormat="1" applyFont="1" applyFill="1" applyBorder="1"/>
    <xf numFmtId="164" fontId="0" fillId="0" borderId="14" xfId="1" applyNumberFormat="1" applyFont="1" applyBorder="1"/>
    <xf numFmtId="0" fontId="0" fillId="0" borderId="14" xfId="0" applyBorder="1"/>
    <xf numFmtId="164" fontId="0" fillId="0" borderId="14" xfId="1" applyNumberFormat="1" applyFont="1" applyFill="1" applyBorder="1"/>
    <xf numFmtId="164" fontId="0" fillId="0" borderId="14" xfId="0" applyNumberFormat="1" applyBorder="1"/>
    <xf numFmtId="164" fontId="0" fillId="0" borderId="0" xfId="0" applyNumberFormat="1" applyFill="1" applyBorder="1"/>
    <xf numFmtId="0" fontId="5" fillId="0" borderId="0" xfId="0" applyFont="1"/>
    <xf numFmtId="164" fontId="0" fillId="0" borderId="0" xfId="0" applyNumberFormat="1" applyFont="1" applyFill="1" applyBorder="1"/>
    <xf numFmtId="10" fontId="0" fillId="0" borderId="7" xfId="2" applyNumberFormat="1" applyFont="1" applyFill="1" applyBorder="1"/>
    <xf numFmtId="164" fontId="0" fillId="0" borderId="6" xfId="0" applyNumberFormat="1" applyFont="1" applyFill="1" applyBorder="1"/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22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18" xfId="0" applyBorder="1" applyAlignment="1">
      <alignment horizontal="center"/>
    </xf>
    <xf numFmtId="0" fontId="6" fillId="0" borderId="0" xfId="0" applyFont="1"/>
    <xf numFmtId="164" fontId="0" fillId="0" borderId="27" xfId="0" applyNumberFormat="1" applyBorder="1"/>
    <xf numFmtId="0" fontId="5" fillId="0" borderId="26" xfId="0" applyFont="1" applyFill="1" applyBorder="1" applyAlignment="1">
      <alignment horizontal="center"/>
    </xf>
    <xf numFmtId="0" fontId="0" fillId="0" borderId="28" xfId="0" applyFill="1" applyBorder="1" applyAlignment="1">
      <alignment wrapText="1"/>
    </xf>
    <xf numFmtId="0" fontId="0" fillId="5" borderId="28" xfId="0" applyFill="1" applyBorder="1" applyAlignment="1">
      <alignment wrapText="1"/>
    </xf>
    <xf numFmtId="0" fontId="5" fillId="4" borderId="26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164" fontId="5" fillId="0" borderId="26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0" fillId="4" borderId="28" xfId="0" applyFill="1" applyBorder="1" applyAlignment="1">
      <alignment wrapText="1"/>
    </xf>
    <xf numFmtId="0" fontId="0" fillId="4" borderId="29" xfId="0" applyFill="1" applyBorder="1" applyAlignment="1">
      <alignment wrapText="1"/>
    </xf>
    <xf numFmtId="165" fontId="0" fillId="0" borderId="0" xfId="2" applyNumberFormat="1" applyFont="1"/>
    <xf numFmtId="164" fontId="2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2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3" fontId="0" fillId="0" borderId="0" xfId="1" applyNumberFormat="1" applyFont="1" applyBorder="1"/>
    <xf numFmtId="3" fontId="0" fillId="0" borderId="6" xfId="1" applyNumberFormat="1" applyFont="1" applyBorder="1"/>
    <xf numFmtId="11" fontId="0" fillId="0" borderId="2" xfId="1" applyNumberFormat="1" applyFont="1" applyFill="1" applyBorder="1"/>
    <xf numFmtId="3" fontId="0" fillId="0" borderId="2" xfId="1" applyNumberFormat="1" applyFont="1" applyBorder="1"/>
    <xf numFmtId="9" fontId="0" fillId="2" borderId="10" xfId="2" applyFont="1" applyFill="1" applyBorder="1" applyAlignment="1">
      <alignment horizontal="center"/>
    </xf>
    <xf numFmtId="164" fontId="0" fillId="0" borderId="38" xfId="0" applyNumberFormat="1" applyBorder="1"/>
    <xf numFmtId="9" fontId="0" fillId="2" borderId="0" xfId="2" applyFont="1" applyFill="1" applyBorder="1" applyAlignment="1">
      <alignment horizontal="center"/>
    </xf>
    <xf numFmtId="10" fontId="0" fillId="0" borderId="0" xfId="0" applyNumberFormat="1" applyFill="1" applyBorder="1"/>
    <xf numFmtId="10" fontId="0" fillId="0" borderId="0" xfId="2" applyNumberFormat="1" applyFont="1" applyBorder="1"/>
    <xf numFmtId="10" fontId="0" fillId="0" borderId="7" xfId="2" applyNumberFormat="1" applyFont="1" applyBorder="1"/>
    <xf numFmtId="164" fontId="0" fillId="0" borderId="2" xfId="1" applyNumberFormat="1" applyFont="1" applyBorder="1"/>
    <xf numFmtId="164" fontId="0" fillId="2" borderId="0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2" xfId="1" applyNumberFormat="1" applyFont="1" applyFill="1" applyBorder="1"/>
    <xf numFmtId="0" fontId="0" fillId="0" borderId="3" xfId="0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5" fillId="0" borderId="23" xfId="1" applyNumberFormat="1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  <xf numFmtId="0" fontId="5" fillId="5" borderId="23" xfId="0" applyFont="1" applyFill="1" applyBorder="1" applyAlignment="1">
      <alignment horizontal="center"/>
    </xf>
    <xf numFmtId="164" fontId="0" fillId="0" borderId="14" xfId="0" applyNumberFormat="1" applyFill="1" applyBorder="1"/>
    <xf numFmtId="0" fontId="0" fillId="0" borderId="14" xfId="0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0" fillId="0" borderId="28" xfId="0" applyBorder="1" applyAlignment="1">
      <alignment wrapText="1"/>
    </xf>
    <xf numFmtId="0" fontId="0" fillId="2" borderId="31" xfId="0" applyFill="1" applyBorder="1" applyAlignment="1">
      <alignment horizontal="left" wrapText="1"/>
    </xf>
    <xf numFmtId="0" fontId="0" fillId="0" borderId="41" xfId="0" applyFill="1" applyBorder="1" applyAlignment="1">
      <alignment wrapText="1"/>
    </xf>
    <xf numFmtId="0" fontId="0" fillId="5" borderId="31" xfId="0" applyFill="1" applyBorder="1" applyAlignment="1">
      <alignment wrapText="1"/>
    </xf>
    <xf numFmtId="0" fontId="0" fillId="5" borderId="29" xfId="0" applyFill="1" applyBorder="1" applyAlignment="1">
      <alignment wrapText="1"/>
    </xf>
    <xf numFmtId="0" fontId="0" fillId="4" borderId="31" xfId="0" applyFill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7" xfId="0" applyBorder="1"/>
    <xf numFmtId="0" fontId="0" fillId="0" borderId="5" xfId="0" applyBorder="1" applyAlignment="1"/>
    <xf numFmtId="0" fontId="0" fillId="0" borderId="7" xfId="0" applyBorder="1" applyAlignment="1">
      <alignment horizontal="left"/>
    </xf>
    <xf numFmtId="0" fontId="0" fillId="0" borderId="30" xfId="0" applyBorder="1"/>
    <xf numFmtId="0" fontId="0" fillId="0" borderId="5" xfId="0" applyBorder="1"/>
    <xf numFmtId="0" fontId="0" fillId="0" borderId="7" xfId="0" applyBorder="1"/>
    <xf numFmtId="0" fontId="0" fillId="0" borderId="30" xfId="0" applyFill="1" applyBorder="1"/>
    <xf numFmtId="0" fontId="0" fillId="0" borderId="27" xfId="0" applyFill="1" applyBorder="1"/>
    <xf numFmtId="0" fontId="5" fillId="0" borderId="4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/>
    </xf>
    <xf numFmtId="164" fontId="0" fillId="0" borderId="4" xfId="1" applyNumberFormat="1" applyFont="1" applyBorder="1"/>
    <xf numFmtId="9" fontId="0" fillId="0" borderId="1" xfId="2" applyFont="1" applyFill="1" applyBorder="1" applyAlignment="1">
      <alignment horizontal="center"/>
    </xf>
    <xf numFmtId="164" fontId="0" fillId="0" borderId="1" xfId="0" applyNumberFormat="1" applyBorder="1"/>
    <xf numFmtId="164" fontId="0" fillId="0" borderId="21" xfId="0" applyNumberFormat="1" applyBorder="1"/>
    <xf numFmtId="9" fontId="0" fillId="2" borderId="1" xfId="2" applyFont="1" applyFill="1" applyBorder="1" applyAlignment="1">
      <alignment horizontal="center"/>
    </xf>
    <xf numFmtId="10" fontId="0" fillId="0" borderId="1" xfId="2" applyNumberFormat="1" applyFont="1" applyBorder="1"/>
    <xf numFmtId="164" fontId="0" fillId="0" borderId="1" xfId="0" applyNumberFormat="1" applyFont="1" applyFill="1" applyBorder="1"/>
    <xf numFmtId="164" fontId="0" fillId="0" borderId="22" xfId="0" applyNumberFormat="1" applyBorder="1"/>
    <xf numFmtId="164" fontId="0" fillId="0" borderId="1" xfId="1" applyNumberFormat="1" applyFont="1" applyBorder="1"/>
    <xf numFmtId="10" fontId="0" fillId="0" borderId="42" xfId="0" applyNumberFormat="1" applyFill="1" applyBorder="1"/>
    <xf numFmtId="164" fontId="0" fillId="0" borderId="26" xfId="0" applyNumberFormat="1" applyBorder="1"/>
    <xf numFmtId="10" fontId="0" fillId="0" borderId="10" xfId="2" applyNumberFormat="1" applyFont="1" applyBorder="1"/>
    <xf numFmtId="164" fontId="2" fillId="0" borderId="8" xfId="0" applyNumberFormat="1" applyFont="1" applyBorder="1"/>
    <xf numFmtId="164" fontId="2" fillId="0" borderId="43" xfId="0" applyNumberFormat="1" applyFont="1" applyBorder="1"/>
    <xf numFmtId="164" fontId="2" fillId="0" borderId="2" xfId="0" applyNumberFormat="1" applyFont="1" applyBorder="1"/>
    <xf numFmtId="164" fontId="2" fillId="0" borderId="44" xfId="0" applyNumberFormat="1" applyFont="1" applyBorder="1"/>
    <xf numFmtId="164" fontId="2" fillId="0" borderId="5" xfId="0" applyNumberFormat="1" applyFont="1" applyBorder="1"/>
    <xf numFmtId="164" fontId="2" fillId="0" borderId="19" xfId="0" applyNumberFormat="1" applyFont="1" applyBorder="1"/>
    <xf numFmtId="0" fontId="0" fillId="0" borderId="20" xfId="0" applyFill="1" applyBorder="1"/>
    <xf numFmtId="164" fontId="0" fillId="0" borderId="42" xfId="0" applyNumberFormat="1" applyFont="1" applyFill="1" applyBorder="1"/>
    <xf numFmtId="164" fontId="2" fillId="0" borderId="23" xfId="1" applyNumberFormat="1" applyFont="1" applyBorder="1"/>
    <xf numFmtId="164" fontId="2" fillId="0" borderId="45" xfId="1" applyNumberFormat="1" applyFont="1" applyBorder="1"/>
    <xf numFmtId="164" fontId="2" fillId="0" borderId="24" xfId="1" applyNumberFormat="1" applyFont="1" applyBorder="1"/>
    <xf numFmtId="3" fontId="0" fillId="0" borderId="23" xfId="1" applyNumberFormat="1" applyFont="1" applyBorder="1"/>
    <xf numFmtId="3" fontId="0" fillId="0" borderId="45" xfId="1" applyNumberFormat="1" applyFont="1" applyBorder="1"/>
    <xf numFmtId="3" fontId="0" fillId="0" borderId="24" xfId="1" applyNumberFormat="1" applyFont="1" applyBorder="1"/>
    <xf numFmtId="9" fontId="0" fillId="2" borderId="3" xfId="2" applyFont="1" applyFill="1" applyBorder="1" applyAlignment="1">
      <alignment horizontal="center"/>
    </xf>
    <xf numFmtId="9" fontId="0" fillId="2" borderId="7" xfId="2" applyFont="1" applyFill="1" applyBorder="1" applyAlignment="1">
      <alignment horizontal="center"/>
    </xf>
    <xf numFmtId="3" fontId="0" fillId="0" borderId="40" xfId="1" applyNumberFormat="1" applyFont="1" applyBorder="1"/>
    <xf numFmtId="3" fontId="0" fillId="0" borderId="14" xfId="1" applyNumberFormat="1" applyFont="1" applyBorder="1"/>
    <xf numFmtId="3" fontId="0" fillId="0" borderId="15" xfId="1" applyNumberFormat="1" applyFont="1" applyBorder="1"/>
    <xf numFmtId="9" fontId="0" fillId="0" borderId="10" xfId="0" applyNumberFormat="1" applyBorder="1"/>
    <xf numFmtId="9" fontId="0" fillId="0" borderId="3" xfId="0" applyNumberFormat="1" applyBorder="1"/>
    <xf numFmtId="0" fontId="0" fillId="0" borderId="11" xfId="0" applyBorder="1" applyAlignment="1">
      <alignment horizontal="center" wrapText="1"/>
    </xf>
    <xf numFmtId="0" fontId="0" fillId="0" borderId="2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9" fontId="0" fillId="0" borderId="26" xfId="0" applyNumberFormat="1" applyBorder="1"/>
    <xf numFmtId="9" fontId="0" fillId="0" borderId="38" xfId="0" applyNumberFormat="1" applyBorder="1"/>
    <xf numFmtId="0" fontId="0" fillId="0" borderId="33" xfId="0" applyBorder="1"/>
    <xf numFmtId="0" fontId="0" fillId="0" borderId="34" xfId="0" applyBorder="1"/>
    <xf numFmtId="9" fontId="0" fillId="0" borderId="46" xfId="0" applyNumberFormat="1" applyBorder="1"/>
    <xf numFmtId="0" fontId="0" fillId="0" borderId="46" xfId="0" applyBorder="1" applyAlignment="1">
      <alignment horizontal="left" vertical="center" wrapText="1"/>
    </xf>
    <xf numFmtId="9" fontId="0" fillId="0" borderId="33" xfId="0" applyNumberFormat="1" applyBorder="1"/>
    <xf numFmtId="9" fontId="0" fillId="2" borderId="46" xfId="2" applyFont="1" applyFill="1" applyBorder="1" applyAlignment="1">
      <alignment horizontal="center"/>
    </xf>
    <xf numFmtId="0" fontId="0" fillId="0" borderId="3" xfId="0" applyFill="1" applyBorder="1"/>
    <xf numFmtId="0" fontId="0" fillId="0" borderId="35" xfId="0" applyBorder="1"/>
    <xf numFmtId="0" fontId="0" fillId="0" borderId="4" xfId="0" applyBorder="1"/>
    <xf numFmtId="10" fontId="0" fillId="0" borderId="47" xfId="0" applyNumberFormat="1" applyFill="1" applyBorder="1"/>
    <xf numFmtId="10" fontId="0" fillId="0" borderId="20" xfId="0" applyNumberFormat="1" applyBorder="1"/>
    <xf numFmtId="0" fontId="0" fillId="0" borderId="13" xfId="0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/>
    </xf>
    <xf numFmtId="0" fontId="13" fillId="6" borderId="38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 wrapText="1"/>
    </xf>
    <xf numFmtId="0" fontId="11" fillId="0" borderId="38" xfId="0" applyFont="1" applyFill="1" applyBorder="1" applyAlignment="1">
      <alignment horizontal="center" wrapText="1"/>
    </xf>
    <xf numFmtId="9" fontId="0" fillId="0" borderId="0" xfId="0" applyNumberFormat="1" applyBorder="1"/>
    <xf numFmtId="9" fontId="0" fillId="0" borderId="34" xfId="0" applyNumberFormat="1" applyBorder="1"/>
    <xf numFmtId="9" fontId="0" fillId="0" borderId="9" xfId="0" applyNumberFormat="1" applyBorder="1"/>
    <xf numFmtId="167" fontId="0" fillId="0" borderId="0" xfId="0" applyNumberFormat="1" applyFill="1" applyBorder="1"/>
    <xf numFmtId="0" fontId="5" fillId="0" borderId="26" xfId="0" applyFont="1" applyFill="1" applyBorder="1" applyAlignment="1">
      <alignment horizontal="center" wrapText="1"/>
    </xf>
    <xf numFmtId="0" fontId="7" fillId="0" borderId="8" xfId="0" applyFont="1" applyBorder="1" applyAlignment="1">
      <alignment vertical="center"/>
    </xf>
    <xf numFmtId="166" fontId="2" fillId="0" borderId="33" xfId="0" applyNumberFormat="1" applyFont="1" applyBorder="1" applyAlignment="1">
      <alignment horizontal="center"/>
    </xf>
    <xf numFmtId="166" fontId="2" fillId="0" borderId="35" xfId="0" applyNumberFormat="1" applyFont="1" applyBorder="1" applyAlignment="1">
      <alignment horizontal="center"/>
    </xf>
    <xf numFmtId="166" fontId="2" fillId="0" borderId="34" xfId="0" applyNumberFormat="1" applyFont="1" applyBorder="1" applyAlignment="1">
      <alignment horizontal="center"/>
    </xf>
    <xf numFmtId="166" fontId="0" fillId="0" borderId="34" xfId="0" applyNumberForma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6" fillId="0" borderId="34" xfId="0" applyFont="1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164" fontId="11" fillId="5" borderId="13" xfId="1" applyNumberFormat="1" applyFont="1" applyFill="1" applyBorder="1" applyAlignment="1">
      <alignment horizontal="center"/>
    </xf>
    <xf numFmtId="164" fontId="11" fillId="5" borderId="39" xfId="1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164" fontId="2" fillId="0" borderId="1" xfId="1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166" fontId="2" fillId="0" borderId="9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6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4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workbookViewId="0">
      <selection activeCell="J37" sqref="J37:K37"/>
    </sheetView>
  </sheetViews>
  <sheetFormatPr defaultRowHeight="15" x14ac:dyDescent="0.25"/>
  <cols>
    <col min="1" max="1" width="14" customWidth="1"/>
    <col min="2" max="2" width="10" customWidth="1"/>
    <col min="3" max="3" width="14.42578125" customWidth="1"/>
    <col min="4" max="4" width="13.5703125" customWidth="1"/>
    <col min="5" max="5" width="11.5703125" style="16" customWidth="1"/>
    <col min="6" max="6" width="14" customWidth="1"/>
    <col min="7" max="7" width="10.7109375" customWidth="1"/>
    <col min="8" max="9" width="14" customWidth="1"/>
    <col min="10" max="10" width="12.28515625" customWidth="1"/>
    <col min="11" max="11" width="16.7109375" customWidth="1"/>
    <col min="12" max="12" width="15.28515625" customWidth="1"/>
    <col min="13" max="13" width="17.140625" customWidth="1"/>
    <col min="14" max="14" width="16" customWidth="1"/>
    <col min="15" max="15" width="12.140625" customWidth="1"/>
    <col min="16" max="16" width="15.140625" customWidth="1"/>
    <col min="17" max="17" width="14.7109375" customWidth="1"/>
    <col min="18" max="18" width="13.28515625" customWidth="1"/>
    <col min="19" max="19" width="15.5703125" customWidth="1"/>
    <col min="20" max="20" width="12.5703125" customWidth="1"/>
    <col min="21" max="21" width="12" bestFit="1" customWidth="1"/>
    <col min="22" max="22" width="15.28515625" bestFit="1" customWidth="1"/>
  </cols>
  <sheetData>
    <row r="1" spans="1:27" ht="33" customHeight="1" thickBot="1" x14ac:dyDescent="0.3">
      <c r="A1" s="186" t="s">
        <v>68</v>
      </c>
      <c r="B1" s="192" t="s">
        <v>86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4"/>
    </row>
    <row r="2" spans="1:27" ht="31.5" customHeight="1" thickTop="1" thickBot="1" x14ac:dyDescent="0.3">
      <c r="A2" s="195" t="s">
        <v>61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7"/>
    </row>
    <row r="3" spans="1:27" ht="22.5" hidden="1" customHeight="1" thickTop="1" thickBot="1" x14ac:dyDescent="0.3">
      <c r="A3" s="31" t="s">
        <v>1</v>
      </c>
      <c r="B3" s="32" t="s">
        <v>3</v>
      </c>
      <c r="C3" s="31" t="s">
        <v>5</v>
      </c>
      <c r="D3" s="33" t="s">
        <v>4</v>
      </c>
      <c r="E3" s="50" t="s">
        <v>0</v>
      </c>
      <c r="F3" s="32" t="s">
        <v>2</v>
      </c>
      <c r="G3" s="32" t="s">
        <v>6</v>
      </c>
      <c r="H3" s="32" t="s">
        <v>7</v>
      </c>
      <c r="I3" s="31" t="s">
        <v>8</v>
      </c>
      <c r="J3" s="31" t="s">
        <v>9</v>
      </c>
      <c r="K3" s="33" t="s">
        <v>12</v>
      </c>
      <c r="L3" s="33" t="s">
        <v>13</v>
      </c>
      <c r="M3" s="32" t="s">
        <v>10</v>
      </c>
      <c r="N3" s="32" t="s">
        <v>11</v>
      </c>
      <c r="O3" s="31" t="s">
        <v>9</v>
      </c>
      <c r="P3" s="33" t="s">
        <v>12</v>
      </c>
      <c r="Q3" s="33"/>
      <c r="R3" s="33" t="s">
        <v>13</v>
      </c>
      <c r="S3" s="31" t="s">
        <v>13</v>
      </c>
      <c r="T3" s="2"/>
    </row>
    <row r="4" spans="1:27" ht="22.5" customHeight="1" thickTop="1" x14ac:dyDescent="0.35">
      <c r="A4" s="198" t="s">
        <v>14</v>
      </c>
      <c r="B4" s="199"/>
      <c r="C4" s="199"/>
      <c r="D4" s="200"/>
      <c r="E4" s="201" t="s">
        <v>28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2"/>
      <c r="S4" s="177"/>
      <c r="T4" s="2"/>
    </row>
    <row r="5" spans="1:27" ht="18" customHeight="1" x14ac:dyDescent="0.3">
      <c r="A5" s="69" t="s">
        <v>0</v>
      </c>
      <c r="B5" s="70" t="s">
        <v>1</v>
      </c>
      <c r="C5" s="70" t="s">
        <v>2</v>
      </c>
      <c r="D5" s="94" t="s">
        <v>3</v>
      </c>
      <c r="E5" s="71" t="s">
        <v>4</v>
      </c>
      <c r="F5" s="71" t="s">
        <v>5</v>
      </c>
      <c r="G5" s="71" t="s">
        <v>6</v>
      </c>
      <c r="H5" s="71" t="s">
        <v>7</v>
      </c>
      <c r="I5" s="71" t="s">
        <v>8</v>
      </c>
      <c r="J5" s="71" t="s">
        <v>9</v>
      </c>
      <c r="K5" s="71" t="s">
        <v>10</v>
      </c>
      <c r="L5" s="71" t="s">
        <v>11</v>
      </c>
      <c r="M5" s="71" t="s">
        <v>12</v>
      </c>
      <c r="N5" s="71" t="s">
        <v>13</v>
      </c>
      <c r="O5" s="71" t="s">
        <v>51</v>
      </c>
      <c r="P5" s="71" t="s">
        <v>52</v>
      </c>
      <c r="Q5" s="71" t="s">
        <v>53</v>
      </c>
      <c r="R5" s="72" t="s">
        <v>54</v>
      </c>
      <c r="S5" s="178" t="s">
        <v>55</v>
      </c>
      <c r="T5" s="2"/>
    </row>
    <row r="6" spans="1:27" s="44" customFormat="1" ht="25.5" customHeight="1" x14ac:dyDescent="0.35">
      <c r="A6" s="203" t="s">
        <v>50</v>
      </c>
      <c r="B6" s="204"/>
      <c r="C6" s="204"/>
      <c r="D6" s="205"/>
      <c r="E6" s="204"/>
      <c r="F6" s="205"/>
      <c r="G6" s="206" t="s">
        <v>17</v>
      </c>
      <c r="H6" s="206"/>
      <c r="I6" s="206"/>
      <c r="J6" s="206"/>
      <c r="K6" s="206"/>
      <c r="L6" s="207"/>
      <c r="M6" s="208" t="s">
        <v>18</v>
      </c>
      <c r="N6" s="208"/>
      <c r="O6" s="208"/>
      <c r="P6" s="208"/>
      <c r="Q6" s="208"/>
      <c r="R6" s="209"/>
      <c r="S6" s="180" t="s">
        <v>49</v>
      </c>
    </row>
    <row r="7" spans="1:27" s="27" customFormat="1" ht="40.5" customHeight="1" thickBot="1" x14ac:dyDescent="0.25">
      <c r="A7" s="46"/>
      <c r="B7" s="51"/>
      <c r="C7" s="51" t="s">
        <v>26</v>
      </c>
      <c r="D7" s="93" t="s">
        <v>27</v>
      </c>
      <c r="E7" s="92"/>
      <c r="F7" s="96"/>
      <c r="G7" s="95" t="s">
        <v>74</v>
      </c>
      <c r="H7" s="54" t="s">
        <v>84</v>
      </c>
      <c r="I7" s="53" t="s">
        <v>29</v>
      </c>
      <c r="J7" s="53" t="s">
        <v>30</v>
      </c>
      <c r="K7" s="54" t="s">
        <v>76</v>
      </c>
      <c r="L7" s="99" t="s">
        <v>31</v>
      </c>
      <c r="M7" s="98" t="s">
        <v>35</v>
      </c>
      <c r="N7" s="55" t="s">
        <v>39</v>
      </c>
      <c r="O7" s="49" t="s">
        <v>44</v>
      </c>
      <c r="P7" s="55" t="s">
        <v>77</v>
      </c>
      <c r="Q7" s="55" t="s">
        <v>78</v>
      </c>
      <c r="R7" s="102" t="s">
        <v>46</v>
      </c>
      <c r="S7" s="52" t="s">
        <v>48</v>
      </c>
    </row>
    <row r="8" spans="1:27" ht="93" customHeight="1" thickBot="1" x14ac:dyDescent="0.3">
      <c r="A8" s="103" t="s">
        <v>21</v>
      </c>
      <c r="B8" s="47" t="s">
        <v>32</v>
      </c>
      <c r="C8" s="48" t="s">
        <v>23</v>
      </c>
      <c r="D8" s="57" t="s">
        <v>22</v>
      </c>
      <c r="E8" s="104" t="s">
        <v>25</v>
      </c>
      <c r="F8" s="105" t="s">
        <v>24</v>
      </c>
      <c r="G8" s="106" t="s">
        <v>33</v>
      </c>
      <c r="H8" s="48" t="s">
        <v>20</v>
      </c>
      <c r="I8" s="48" t="s">
        <v>15</v>
      </c>
      <c r="J8" s="48" t="s">
        <v>16</v>
      </c>
      <c r="K8" s="48" t="s">
        <v>41</v>
      </c>
      <c r="L8" s="107" t="s">
        <v>42</v>
      </c>
      <c r="M8" s="108" t="s">
        <v>36</v>
      </c>
      <c r="N8" s="56" t="s">
        <v>37</v>
      </c>
      <c r="O8" s="56" t="s">
        <v>38</v>
      </c>
      <c r="P8" s="56" t="s">
        <v>40</v>
      </c>
      <c r="Q8" s="56" t="s">
        <v>43</v>
      </c>
      <c r="R8" s="57" t="s">
        <v>45</v>
      </c>
      <c r="S8" s="105" t="s">
        <v>47</v>
      </c>
      <c r="U8" s="35"/>
      <c r="V8" s="35"/>
      <c r="W8" s="35"/>
      <c r="X8" s="35"/>
      <c r="Y8" s="27"/>
      <c r="Z8" s="27"/>
      <c r="AA8" s="27"/>
    </row>
    <row r="9" spans="1:27" x14ac:dyDescent="0.25">
      <c r="A9" s="83">
        <v>100000000</v>
      </c>
      <c r="B9" s="5">
        <v>0.5</v>
      </c>
      <c r="C9" s="6">
        <f>(A9*0.45)*(B9)</f>
        <v>22500000</v>
      </c>
      <c r="D9" s="25">
        <f>(A9*0.45)*(1-B9)</f>
        <v>22500000</v>
      </c>
      <c r="E9" s="79">
        <f>(A9-F9)/A9</f>
        <v>0.01</v>
      </c>
      <c r="F9" s="22">
        <v>99000000</v>
      </c>
      <c r="G9" s="80">
        <f>+B9+E9</f>
        <v>0.51</v>
      </c>
      <c r="H9" s="6">
        <f>IF(G9&gt;1,F9*0.45,(F9*0.45*G9))</f>
        <v>22720500</v>
      </c>
      <c r="I9" s="6">
        <f>C9-H9</f>
        <v>-220500</v>
      </c>
      <c r="J9" s="81">
        <f>I9/C9</f>
        <v>-9.7999999999999997E-3</v>
      </c>
      <c r="K9" s="6">
        <f>(0.02*(0.45*A9)*30*B9)-(0.02*(0.45*F9)*30*B9)</f>
        <v>135000</v>
      </c>
      <c r="L9" s="25">
        <f>+I9+K9</f>
        <v>-85500</v>
      </c>
      <c r="M9" s="28">
        <f>IF(G9&lt;1,F9*0.45*(1-G9),0)</f>
        <v>21829500</v>
      </c>
      <c r="N9" s="28">
        <f>IF(G9&lt;1,(D9-M9),D9)</f>
        <v>670500</v>
      </c>
      <c r="O9" s="81">
        <f>N9/D9</f>
        <v>2.98E-2</v>
      </c>
      <c r="P9" s="6">
        <f>(0.02*(0.45*A9)*30*(1-B9))-(0.02*(0.45*F9)*30*(1-B9))</f>
        <v>135000</v>
      </c>
      <c r="Q9" s="6">
        <f>(0.02*(0.45*A9)*30)-(0.02*(0.45*F9)*30)</f>
        <v>270000</v>
      </c>
      <c r="R9" s="25">
        <f>N9+P9+Q9</f>
        <v>1075500</v>
      </c>
      <c r="S9" s="15">
        <f>L9+R9</f>
        <v>990000</v>
      </c>
      <c r="T9" s="58"/>
      <c r="Y9" s="27"/>
      <c r="Z9" s="27"/>
      <c r="AA9" s="27"/>
    </row>
    <row r="10" spans="1:27" x14ac:dyDescent="0.25">
      <c r="A10" s="34"/>
      <c r="B10" s="7"/>
      <c r="C10" s="6">
        <f t="shared" ref="C10:C25" si="0">(A10*0.45)*(B10)</f>
        <v>0</v>
      </c>
      <c r="D10" s="25">
        <f t="shared" ref="D10:D25" si="1">(A10*0.45)*(1-B10)</f>
        <v>0</v>
      </c>
      <c r="E10" s="84"/>
      <c r="F10" s="23"/>
      <c r="G10" s="26"/>
      <c r="H10" s="2"/>
      <c r="I10" s="2"/>
      <c r="J10" s="8"/>
      <c r="K10" s="6"/>
      <c r="L10" s="23"/>
      <c r="M10" s="28"/>
      <c r="N10" s="28"/>
      <c r="O10" s="8"/>
      <c r="P10" s="2"/>
      <c r="Q10" s="2"/>
      <c r="R10" s="23"/>
      <c r="S10" s="3"/>
      <c r="T10" s="58"/>
    </row>
    <row r="11" spans="1:27" x14ac:dyDescent="0.25">
      <c r="A11" s="83">
        <v>100000000</v>
      </c>
      <c r="B11" s="5">
        <v>0.96</v>
      </c>
      <c r="C11" s="6">
        <f t="shared" si="0"/>
        <v>43200000</v>
      </c>
      <c r="D11" s="25">
        <f t="shared" si="1"/>
        <v>1800000.0000000016</v>
      </c>
      <c r="E11" s="79">
        <f>(A11-F11)/A11</f>
        <v>0.01</v>
      </c>
      <c r="F11" s="22">
        <v>99000000</v>
      </c>
      <c r="G11" s="80">
        <f>+B11+E11</f>
        <v>0.97</v>
      </c>
      <c r="H11" s="6">
        <f>IF(G11&gt;1,F11*0.45,(F11*0.45*G11))</f>
        <v>43213500</v>
      </c>
      <c r="I11" s="6">
        <f>C11-H11</f>
        <v>-13500</v>
      </c>
      <c r="J11" s="81">
        <f>I11/C11</f>
        <v>-3.1250000000000001E-4</v>
      </c>
      <c r="K11" s="6">
        <f>(0.02*(0.45*A11)*30*B11)-(0.02*(0.45*F11)*30*B11)</f>
        <v>259200</v>
      </c>
      <c r="L11" s="25">
        <f>+I11+K11</f>
        <v>245700</v>
      </c>
      <c r="M11" s="28">
        <f>IF(G11&lt;1,F11*0.45*(1-G11),0)</f>
        <v>1336500.0000000012</v>
      </c>
      <c r="N11" s="28">
        <f>IF(G11&lt;1,(D11-M11),D11)</f>
        <v>463500.00000000047</v>
      </c>
      <c r="O11" s="81">
        <f>N11/D11</f>
        <v>0.25750000000000001</v>
      </c>
      <c r="P11" s="6">
        <f>(0.02*(0.45*A11)*30*(1-B11))-(0.02*(0.45*F11)*30*(1-B11))</f>
        <v>10800</v>
      </c>
      <c r="Q11" s="6">
        <f>(0.02*(0.45*A11)*30)-(0.02*(0.45*F11)*30)</f>
        <v>270000</v>
      </c>
      <c r="R11" s="25">
        <f>N11+P11+Q11</f>
        <v>744300.00000000047</v>
      </c>
      <c r="S11" s="15">
        <f>L11+R11</f>
        <v>990000.00000000047</v>
      </c>
      <c r="T11" s="58"/>
    </row>
    <row r="12" spans="1:27" x14ac:dyDescent="0.25">
      <c r="A12" s="34"/>
      <c r="B12" s="7"/>
      <c r="C12" s="6"/>
      <c r="D12" s="25"/>
      <c r="E12" s="84"/>
      <c r="F12" s="23"/>
      <c r="G12" s="26"/>
      <c r="H12" s="2"/>
      <c r="I12" s="2"/>
      <c r="J12" s="8"/>
      <c r="K12" s="2"/>
      <c r="L12" s="23"/>
      <c r="M12" s="28"/>
      <c r="N12" s="28"/>
      <c r="O12" s="8"/>
      <c r="P12" s="2"/>
      <c r="Q12" s="2"/>
      <c r="R12" s="23"/>
      <c r="S12" s="3"/>
      <c r="T12" s="58"/>
    </row>
    <row r="13" spans="1:27" s="1" customFormat="1" x14ac:dyDescent="0.25">
      <c r="A13" s="90">
        <v>100000000</v>
      </c>
      <c r="B13" s="5">
        <v>0.45452999999999999</v>
      </c>
      <c r="C13" s="6">
        <f t="shared" si="0"/>
        <v>20453850</v>
      </c>
      <c r="D13" s="25">
        <f t="shared" si="1"/>
        <v>24546150</v>
      </c>
      <c r="E13" s="79">
        <f>(A13-F13)/A13</f>
        <v>0.1</v>
      </c>
      <c r="F13" s="24">
        <v>90000000</v>
      </c>
      <c r="G13" s="80">
        <f t="shared" ref="G13:G15" si="2">+B13+E13</f>
        <v>0.55452999999999997</v>
      </c>
      <c r="H13" s="6">
        <f>IF(G13&gt;1,F13*0.45,(F13*0.45*G13))</f>
        <v>22458465</v>
      </c>
      <c r="I13" s="6">
        <f>C13-H13</f>
        <v>-2004615</v>
      </c>
      <c r="J13" s="81">
        <f t="shared" ref="J13:J15" si="3">I13/C13</f>
        <v>-9.8006732228895777E-2</v>
      </c>
      <c r="K13" s="6">
        <f>(0.02*(0.45*A13)*30*B13)-(0.02*(0.45*F13)*30*B13)</f>
        <v>1227231</v>
      </c>
      <c r="L13" s="25">
        <f>+I13+K13</f>
        <v>-777384</v>
      </c>
      <c r="M13" s="28">
        <f>IF(G13&lt;1,F13*0.45*(1-G13),0)</f>
        <v>18041535</v>
      </c>
      <c r="N13" s="28">
        <f>IF(G13&lt;1,(D13-M13),D13)</f>
        <v>6504615</v>
      </c>
      <c r="O13" s="81">
        <f t="shared" ref="O13:O15" si="4">N13/D13</f>
        <v>0.26499532513245461</v>
      </c>
      <c r="P13" s="6">
        <f t="shared" ref="P13:P15" si="5">(0.02*(0.45*A13)*30*(1-B13))-(0.02*(0.45*F13)*30*(1-B13))</f>
        <v>1472769</v>
      </c>
      <c r="Q13" s="6">
        <f t="shared" ref="Q13:Q15" si="6">(0.02*(0.45*A13)*30)-(0.02*(0.45*F13)*30)</f>
        <v>2700000</v>
      </c>
      <c r="R13" s="25">
        <f t="shared" ref="R13:R15" si="7">N13+P13+Q13</f>
        <v>10677384</v>
      </c>
      <c r="S13" s="15">
        <f t="shared" ref="S13:S15" si="8">L13+R13</f>
        <v>9900000</v>
      </c>
      <c r="T13" s="58"/>
    </row>
    <row r="14" spans="1:27" x14ac:dyDescent="0.25">
      <c r="A14" s="90">
        <v>100000000</v>
      </c>
      <c r="B14" s="5">
        <v>0.5</v>
      </c>
      <c r="C14" s="6">
        <f t="shared" si="0"/>
        <v>22500000</v>
      </c>
      <c r="D14" s="25">
        <f t="shared" si="1"/>
        <v>22500000</v>
      </c>
      <c r="E14" s="79">
        <f>(A14-F14)/A14</f>
        <v>0.2</v>
      </c>
      <c r="F14" s="24">
        <v>80000000</v>
      </c>
      <c r="G14" s="80">
        <f t="shared" si="2"/>
        <v>0.7</v>
      </c>
      <c r="H14" s="6">
        <f>IF(G14&gt;1,F14*0.45,(F14*0.45*G14))</f>
        <v>25200000</v>
      </c>
      <c r="I14" s="6">
        <f>C14-H14</f>
        <v>-2700000</v>
      </c>
      <c r="J14" s="81">
        <f t="shared" si="3"/>
        <v>-0.12</v>
      </c>
      <c r="K14" s="6">
        <f>(0.02*(0.45*A14)*30*B14)-(0.02*(0.45*F14)*30*B14)</f>
        <v>2700000</v>
      </c>
      <c r="L14" s="25">
        <f>+I14+K14</f>
        <v>0</v>
      </c>
      <c r="M14" s="28">
        <f>IF(G14&lt;1,F14*0.45*(1-G14),0)</f>
        <v>10800000.000000002</v>
      </c>
      <c r="N14" s="28">
        <f>IF(G14&lt;1,(D14-M14),D14)</f>
        <v>11699999.999999998</v>
      </c>
      <c r="O14" s="81">
        <f t="shared" si="4"/>
        <v>0.51999999999999991</v>
      </c>
      <c r="P14" s="6">
        <f t="shared" si="5"/>
        <v>2700000</v>
      </c>
      <c r="Q14" s="6">
        <f t="shared" si="6"/>
        <v>5400000</v>
      </c>
      <c r="R14" s="25">
        <f t="shared" si="7"/>
        <v>19800000</v>
      </c>
      <c r="S14" s="15">
        <f t="shared" si="8"/>
        <v>19800000</v>
      </c>
      <c r="T14" s="58"/>
    </row>
    <row r="15" spans="1:27" x14ac:dyDescent="0.25">
      <c r="A15" s="90">
        <v>100000000</v>
      </c>
      <c r="B15" s="5">
        <v>0.5</v>
      </c>
      <c r="C15" s="6">
        <f t="shared" si="0"/>
        <v>22500000</v>
      </c>
      <c r="D15" s="25">
        <f t="shared" si="1"/>
        <v>22500000</v>
      </c>
      <c r="E15" s="79">
        <f>(A15-F15)/A15</f>
        <v>0.3</v>
      </c>
      <c r="F15" s="24">
        <v>70000000</v>
      </c>
      <c r="G15" s="80">
        <f t="shared" si="2"/>
        <v>0.8</v>
      </c>
      <c r="H15" s="6">
        <f>IF(G15&gt;1,F15*0.45,(F15*0.45*G15))</f>
        <v>25200000</v>
      </c>
      <c r="I15" s="6">
        <f>C15-H15</f>
        <v>-2700000</v>
      </c>
      <c r="J15" s="81">
        <f t="shared" si="3"/>
        <v>-0.12</v>
      </c>
      <c r="K15" s="6">
        <f>(0.02*(0.45*A15)*30*B15)-(0.02*(0.45*F15)*30*B15)</f>
        <v>4050000</v>
      </c>
      <c r="L15" s="100">
        <f>+I15+K15</f>
        <v>1350000</v>
      </c>
      <c r="M15" s="28">
        <f>IF(G15&lt;1,F15*0.45*(1-G15),0)</f>
        <v>6299999.9999999981</v>
      </c>
      <c r="N15" s="28">
        <f>IF(G15&lt;1,(D15-M15),D15)</f>
        <v>16200000.000000002</v>
      </c>
      <c r="O15" s="81">
        <f t="shared" si="4"/>
        <v>0.72000000000000008</v>
      </c>
      <c r="P15" s="6">
        <f t="shared" si="5"/>
        <v>4050000</v>
      </c>
      <c r="Q15" s="6">
        <f t="shared" si="6"/>
        <v>8100000</v>
      </c>
      <c r="R15" s="25">
        <f t="shared" si="7"/>
        <v>28350000</v>
      </c>
      <c r="S15" s="15">
        <f t="shared" si="8"/>
        <v>29700000</v>
      </c>
      <c r="T15" s="58"/>
    </row>
    <row r="16" spans="1:27" x14ac:dyDescent="0.25">
      <c r="A16" s="34"/>
      <c r="B16" s="7"/>
      <c r="C16" s="6">
        <f t="shared" si="0"/>
        <v>0</v>
      </c>
      <c r="D16" s="25">
        <f t="shared" si="1"/>
        <v>0</v>
      </c>
      <c r="E16" s="84"/>
      <c r="F16" s="23"/>
      <c r="G16" s="26"/>
      <c r="H16" s="2"/>
      <c r="I16" s="2"/>
      <c r="J16" s="8"/>
      <c r="K16" s="2"/>
      <c r="L16" s="23"/>
      <c r="M16" s="28"/>
      <c r="N16" s="28"/>
      <c r="O16" s="8"/>
      <c r="P16" s="2"/>
      <c r="Q16" s="2"/>
      <c r="R16" s="23"/>
      <c r="S16" s="3"/>
      <c r="T16" s="58"/>
    </row>
    <row r="17" spans="1:20" x14ac:dyDescent="0.25">
      <c r="A17" s="90">
        <v>100000000</v>
      </c>
      <c r="B17" s="5">
        <v>0.96</v>
      </c>
      <c r="C17" s="6">
        <f t="shared" si="0"/>
        <v>43200000</v>
      </c>
      <c r="D17" s="25">
        <f t="shared" si="1"/>
        <v>1800000.0000000016</v>
      </c>
      <c r="E17" s="79">
        <f>(A17-F17)/A17</f>
        <v>0.1</v>
      </c>
      <c r="F17" s="24">
        <v>90000000</v>
      </c>
      <c r="G17" s="80">
        <f t="shared" ref="G17:G19" si="9">+B17+E17</f>
        <v>1.06</v>
      </c>
      <c r="H17" s="6">
        <f>IF(G17&gt;1,F17*0.45,(F17*0.45*G17))</f>
        <v>40500000</v>
      </c>
      <c r="I17" s="6">
        <f>C17-H17</f>
        <v>2700000</v>
      </c>
      <c r="J17" s="81">
        <f t="shared" ref="J17:J19" si="10">I17/C17</f>
        <v>6.25E-2</v>
      </c>
      <c r="K17" s="6">
        <f>(0.02*(0.45*A17)*30*B17)-(0.02*(0.45*F17)*30*B17)</f>
        <v>2592000</v>
      </c>
      <c r="L17" s="100">
        <f>+I17+K17</f>
        <v>5292000</v>
      </c>
      <c r="M17" s="28">
        <f>IF(G17&gt;1,0,(F17*0.45*(1-G17)))</f>
        <v>0</v>
      </c>
      <c r="N17" s="28">
        <f>IF(G17&lt;1,(D17-M17),D17)</f>
        <v>1800000.0000000016</v>
      </c>
      <c r="O17" s="81">
        <f t="shared" ref="O17:O19" si="11">N17/D17</f>
        <v>1</v>
      </c>
      <c r="P17" s="6">
        <f t="shared" ref="P17:P19" si="12">(0.02*(0.45*A17)*30*(1-B17))-(0.02*(0.45*F17)*30*(1-B17))</f>
        <v>108000.00000000012</v>
      </c>
      <c r="Q17" s="6">
        <f t="shared" ref="Q17:Q19" si="13">(0.02*(0.45*A17)*30)-(0.02*(0.45*F17)*30)</f>
        <v>2700000</v>
      </c>
      <c r="R17" s="25">
        <f t="shared" ref="R17:R19" si="14">N17+P17+Q17</f>
        <v>4608000.0000000019</v>
      </c>
      <c r="S17" s="15">
        <f t="shared" ref="S17:S19" si="15">L17+R17</f>
        <v>9900000.0000000019</v>
      </c>
      <c r="T17" s="58"/>
    </row>
    <row r="18" spans="1:20" x14ac:dyDescent="0.25">
      <c r="A18" s="83">
        <v>100000000</v>
      </c>
      <c r="B18" s="5">
        <v>0.96</v>
      </c>
      <c r="C18" s="6">
        <f t="shared" si="0"/>
        <v>43200000</v>
      </c>
      <c r="D18" s="25">
        <f t="shared" si="1"/>
        <v>1800000.0000000016</v>
      </c>
      <c r="E18" s="79">
        <f>(A18-F18)/A18</f>
        <v>0.2</v>
      </c>
      <c r="F18" s="24">
        <v>80000000</v>
      </c>
      <c r="G18" s="80">
        <f t="shared" si="9"/>
        <v>1.1599999999999999</v>
      </c>
      <c r="H18" s="6">
        <f>IF(G18&gt;1,F18*0.45,(F18*0.45*G18))</f>
        <v>36000000</v>
      </c>
      <c r="I18" s="6">
        <f>C18-H18</f>
        <v>7200000</v>
      </c>
      <c r="J18" s="81">
        <f t="shared" si="10"/>
        <v>0.16666666666666666</v>
      </c>
      <c r="K18" s="6">
        <f>(0.02*(0.45*A18)*30*B18)-(0.02*(0.45*F18)*30*B18)</f>
        <v>5184000</v>
      </c>
      <c r="L18" s="25">
        <f>+I18+K18</f>
        <v>12384000</v>
      </c>
      <c r="M18" s="28">
        <f>IF(G18&gt;1,0,(F18*0.45*(1-G18)))</f>
        <v>0</v>
      </c>
      <c r="N18" s="28">
        <f>IF(G18&lt;1,(D18-M18),D18)</f>
        <v>1800000.0000000016</v>
      </c>
      <c r="O18" s="81">
        <f t="shared" si="11"/>
        <v>1</v>
      </c>
      <c r="P18" s="6">
        <f t="shared" si="12"/>
        <v>216000.00000000012</v>
      </c>
      <c r="Q18" s="6">
        <f t="shared" si="13"/>
        <v>5400000</v>
      </c>
      <c r="R18" s="25">
        <f t="shared" si="14"/>
        <v>7416000.0000000019</v>
      </c>
      <c r="S18" s="15">
        <f t="shared" si="15"/>
        <v>19800000</v>
      </c>
      <c r="T18" s="58"/>
    </row>
    <row r="19" spans="1:20" x14ac:dyDescent="0.25">
      <c r="A19" s="83">
        <v>100000000</v>
      </c>
      <c r="B19" s="5">
        <v>0.96</v>
      </c>
      <c r="C19" s="6">
        <f t="shared" si="0"/>
        <v>43200000</v>
      </c>
      <c r="D19" s="25">
        <f t="shared" si="1"/>
        <v>1800000.0000000016</v>
      </c>
      <c r="E19" s="79">
        <f>(A19-F19)/A19</f>
        <v>0.3</v>
      </c>
      <c r="F19" s="24">
        <v>70000000</v>
      </c>
      <c r="G19" s="80">
        <f t="shared" si="9"/>
        <v>1.26</v>
      </c>
      <c r="H19" s="6">
        <f>IF(G19&gt;1,F19*0.45,(F19*0.45*G19))</f>
        <v>31500000</v>
      </c>
      <c r="I19" s="6">
        <f>C19-H19</f>
        <v>11700000</v>
      </c>
      <c r="J19" s="81">
        <f t="shared" si="10"/>
        <v>0.27083333333333331</v>
      </c>
      <c r="K19" s="6">
        <f>(0.02*(0.45*A19)*30*B19)-(0.02*(0.45*F19)*30*B19)</f>
        <v>7776000</v>
      </c>
      <c r="L19" s="25">
        <f>+I19+K19</f>
        <v>19476000</v>
      </c>
      <c r="M19" s="28">
        <f>IF(G19&gt;1,0,(F19*0.45*(1-G19)))</f>
        <v>0</v>
      </c>
      <c r="N19" s="28">
        <f>IF(G19&lt;1,(D19-M19),D19)</f>
        <v>1800000.0000000016</v>
      </c>
      <c r="O19" s="81">
        <f t="shared" si="11"/>
        <v>1</v>
      </c>
      <c r="P19" s="6">
        <f t="shared" si="12"/>
        <v>324000.00000000023</v>
      </c>
      <c r="Q19" s="6">
        <f t="shared" si="13"/>
        <v>8100000</v>
      </c>
      <c r="R19" s="25">
        <f t="shared" si="14"/>
        <v>10224000.000000002</v>
      </c>
      <c r="S19" s="15">
        <f t="shared" si="15"/>
        <v>29700000</v>
      </c>
      <c r="T19" s="58"/>
    </row>
    <row r="20" spans="1:20" x14ac:dyDescent="0.25">
      <c r="A20" s="19"/>
      <c r="B20" s="85"/>
      <c r="C20" s="6"/>
      <c r="D20" s="25"/>
      <c r="E20" s="84"/>
      <c r="F20" s="97"/>
      <c r="G20" s="87"/>
      <c r="H20" s="86"/>
      <c r="I20" s="61"/>
      <c r="J20" s="88"/>
      <c r="K20" s="61"/>
      <c r="L20" s="101"/>
      <c r="M20" s="28"/>
      <c r="N20" s="89"/>
      <c r="O20" s="88"/>
      <c r="P20" s="61"/>
      <c r="Q20" s="61"/>
      <c r="R20" s="101"/>
      <c r="S20" s="91"/>
      <c r="T20" s="58"/>
    </row>
    <row r="21" spans="1:20" x14ac:dyDescent="0.25">
      <c r="A21" s="83">
        <v>100000000</v>
      </c>
      <c r="B21" s="5">
        <v>0.5</v>
      </c>
      <c r="C21" s="6">
        <f t="shared" si="0"/>
        <v>22500000</v>
      </c>
      <c r="D21" s="25">
        <f t="shared" si="1"/>
        <v>22500000</v>
      </c>
      <c r="E21" s="79">
        <f>(A21-F21)/A21</f>
        <v>0.1</v>
      </c>
      <c r="F21" s="22">
        <v>90000000</v>
      </c>
      <c r="G21" s="80">
        <f t="shared" ref="G21:G25" si="16">+B21+E21</f>
        <v>0.6</v>
      </c>
      <c r="H21" s="6">
        <f>IF(G21&gt;1,F21*0.45,(F21*0.45*G21))</f>
        <v>24300000</v>
      </c>
      <c r="I21" s="6">
        <f>C21-H21</f>
        <v>-1800000</v>
      </c>
      <c r="J21" s="81">
        <f t="shared" ref="J21:J25" si="17">I21/C21</f>
        <v>-0.08</v>
      </c>
      <c r="K21" s="6">
        <f t="shared" ref="K21:K25" si="18">(0.02*(0.45*A21)*30*B21)-(0.02*(0.45*F21)*30*B21)</f>
        <v>1350000</v>
      </c>
      <c r="L21" s="25">
        <f>+I21+K21</f>
        <v>-450000</v>
      </c>
      <c r="M21" s="28">
        <f>IF(G21&lt;1,F21*0.45*(1-G21),0)</f>
        <v>16200000</v>
      </c>
      <c r="N21" s="28">
        <f>IF(G21&lt;1,(D21-M21),D21)</f>
        <v>6300000</v>
      </c>
      <c r="O21" s="81">
        <f t="shared" ref="O21:O25" si="19">N21/D21</f>
        <v>0.28000000000000003</v>
      </c>
      <c r="P21" s="6">
        <f t="shared" ref="P21:P25" si="20">(0.02*(0.45*A21)*30*(1-B21))-(0.02*(0.45*F21)*30*(1-B21))</f>
        <v>1350000</v>
      </c>
      <c r="Q21" s="6">
        <f t="shared" ref="Q21:Q25" si="21">(0.02*(0.45*A21)*30)-(0.02*(0.45*F21)*30)</f>
        <v>2700000</v>
      </c>
      <c r="R21" s="25">
        <f t="shared" ref="R21:R25" si="22">N21+P21+Q21</f>
        <v>10350000</v>
      </c>
      <c r="S21" s="15">
        <f t="shared" ref="S21:S25" si="23">L21+R21</f>
        <v>9900000</v>
      </c>
      <c r="T21" s="58"/>
    </row>
    <row r="22" spans="1:20" x14ac:dyDescent="0.25">
      <c r="A22" s="83">
        <v>100000000</v>
      </c>
      <c r="B22" s="5">
        <v>0.6</v>
      </c>
      <c r="C22" s="6">
        <f t="shared" si="0"/>
        <v>27000000</v>
      </c>
      <c r="D22" s="25">
        <f t="shared" si="1"/>
        <v>18000000</v>
      </c>
      <c r="E22" s="79">
        <f>(A22-F22)/A22</f>
        <v>0.1</v>
      </c>
      <c r="F22" s="22">
        <v>90000000</v>
      </c>
      <c r="G22" s="80">
        <f t="shared" si="16"/>
        <v>0.7</v>
      </c>
      <c r="H22" s="6">
        <f>IF(G22&gt;1,F22*0.45,(F22*0.45*G22))</f>
        <v>28350000</v>
      </c>
      <c r="I22" s="6">
        <f>C22-H22</f>
        <v>-1350000</v>
      </c>
      <c r="J22" s="81">
        <f t="shared" si="17"/>
        <v>-0.05</v>
      </c>
      <c r="K22" s="6">
        <f t="shared" si="18"/>
        <v>1620000</v>
      </c>
      <c r="L22" s="25">
        <f>+I22+K22</f>
        <v>270000</v>
      </c>
      <c r="M22" s="28">
        <f>IF(G22&lt;1,F22*0.45*(1-G22),0)</f>
        <v>12150000.000000002</v>
      </c>
      <c r="N22" s="28">
        <f>IF(G22&lt;1,(D22-M22),D22)</f>
        <v>5849999.9999999981</v>
      </c>
      <c r="O22" s="81">
        <f t="shared" si="19"/>
        <v>0.3249999999999999</v>
      </c>
      <c r="P22" s="6">
        <f t="shared" si="20"/>
        <v>1080000</v>
      </c>
      <c r="Q22" s="6">
        <f t="shared" si="21"/>
        <v>2700000</v>
      </c>
      <c r="R22" s="25">
        <f t="shared" si="22"/>
        <v>9629999.9999999981</v>
      </c>
      <c r="S22" s="15">
        <f t="shared" si="23"/>
        <v>9899999.9999999981</v>
      </c>
      <c r="T22" s="58"/>
    </row>
    <row r="23" spans="1:20" x14ac:dyDescent="0.25">
      <c r="A23" s="83">
        <v>100000000</v>
      </c>
      <c r="B23" s="5">
        <v>0.7</v>
      </c>
      <c r="C23" s="6">
        <f t="shared" si="0"/>
        <v>31499999.999999996</v>
      </c>
      <c r="D23" s="25">
        <f t="shared" si="1"/>
        <v>13500000.000000002</v>
      </c>
      <c r="E23" s="79">
        <f>(A23-F23)/A23</f>
        <v>0.1</v>
      </c>
      <c r="F23" s="22">
        <v>90000000</v>
      </c>
      <c r="G23" s="80">
        <f t="shared" si="16"/>
        <v>0.79999999999999993</v>
      </c>
      <c r="H23" s="6">
        <f>IF(G23&gt;1,F23*0.45,(F23*0.45*G23))</f>
        <v>32399999.999999996</v>
      </c>
      <c r="I23" s="6">
        <f>C23-H23</f>
        <v>-900000</v>
      </c>
      <c r="J23" s="81">
        <f t="shared" si="17"/>
        <v>-2.8571428571428574E-2</v>
      </c>
      <c r="K23" s="6">
        <f t="shared" si="18"/>
        <v>1890000</v>
      </c>
      <c r="L23" s="25">
        <f>+I23+K23</f>
        <v>990000</v>
      </c>
      <c r="M23" s="28">
        <f>IF(G23&lt;1,F23*0.45*(1-G23),0)</f>
        <v>8100000.0000000028</v>
      </c>
      <c r="N23" s="28">
        <f>IF(G23&lt;1,(D23-M23),D23)</f>
        <v>5399999.9999999991</v>
      </c>
      <c r="O23" s="81">
        <f t="shared" si="19"/>
        <v>0.39999999999999986</v>
      </c>
      <c r="P23" s="6">
        <f t="shared" si="20"/>
        <v>810000</v>
      </c>
      <c r="Q23" s="6">
        <f t="shared" si="21"/>
        <v>2700000</v>
      </c>
      <c r="R23" s="25">
        <f t="shared" si="22"/>
        <v>8910000</v>
      </c>
      <c r="S23" s="15">
        <f t="shared" si="23"/>
        <v>9900000</v>
      </c>
      <c r="T23" s="58"/>
    </row>
    <row r="24" spans="1:20" x14ac:dyDescent="0.25">
      <c r="A24" s="83">
        <v>100000000</v>
      </c>
      <c r="B24" s="5">
        <v>0.8</v>
      </c>
      <c r="C24" s="6">
        <f t="shared" si="0"/>
        <v>36000000</v>
      </c>
      <c r="D24" s="25">
        <f t="shared" si="1"/>
        <v>8999999.9999999981</v>
      </c>
      <c r="E24" s="79">
        <f>(A24-F24)/A24</f>
        <v>0.1</v>
      </c>
      <c r="F24" s="22">
        <v>90000000</v>
      </c>
      <c r="G24" s="80">
        <f t="shared" si="16"/>
        <v>0.9</v>
      </c>
      <c r="H24" s="6">
        <f>IF(G24&gt;1,F24*0.45,(F24*0.45*G24))</f>
        <v>36450000</v>
      </c>
      <c r="I24" s="6">
        <f>C24-H24</f>
        <v>-450000</v>
      </c>
      <c r="J24" s="81">
        <f t="shared" si="17"/>
        <v>-1.2500000000000001E-2</v>
      </c>
      <c r="K24" s="6">
        <f t="shared" si="18"/>
        <v>2160000</v>
      </c>
      <c r="L24" s="25">
        <f>+I24+K24</f>
        <v>1710000</v>
      </c>
      <c r="M24" s="28">
        <f>IF(G24&lt;1,F24*0.45*(1-G24),0)</f>
        <v>4049999.9999999991</v>
      </c>
      <c r="N24" s="28">
        <f>IF(G24&lt;1,(D24-M24),D24)</f>
        <v>4949999.9999999991</v>
      </c>
      <c r="O24" s="81">
        <f t="shared" si="19"/>
        <v>0.55000000000000004</v>
      </c>
      <c r="P24" s="6">
        <f t="shared" si="20"/>
        <v>540000</v>
      </c>
      <c r="Q24" s="6">
        <f t="shared" si="21"/>
        <v>2700000</v>
      </c>
      <c r="R24" s="25">
        <f t="shared" si="22"/>
        <v>8189999.9999999991</v>
      </c>
      <c r="S24" s="15">
        <f t="shared" si="23"/>
        <v>9900000</v>
      </c>
      <c r="T24" s="58"/>
    </row>
    <row r="25" spans="1:20" ht="15.75" thickBot="1" x14ac:dyDescent="0.3">
      <c r="A25" s="127">
        <v>100000000</v>
      </c>
      <c r="B25" s="128">
        <v>0.9</v>
      </c>
      <c r="C25" s="129">
        <f t="shared" si="0"/>
        <v>40500000</v>
      </c>
      <c r="D25" s="130">
        <f t="shared" si="1"/>
        <v>4499999.9999999991</v>
      </c>
      <c r="E25" s="131">
        <f>(A25-F25)/A25</f>
        <v>0.1</v>
      </c>
      <c r="F25" s="135">
        <v>90000000</v>
      </c>
      <c r="G25" s="136">
        <f t="shared" si="16"/>
        <v>1</v>
      </c>
      <c r="H25" s="129">
        <f>IF(G25&gt;1,F25*0.45,(F25*0.45*G25))</f>
        <v>40500000</v>
      </c>
      <c r="I25" s="129">
        <f>C25-H25</f>
        <v>0</v>
      </c>
      <c r="J25" s="132">
        <f t="shared" si="17"/>
        <v>0</v>
      </c>
      <c r="K25" s="129">
        <f t="shared" si="18"/>
        <v>2430000</v>
      </c>
      <c r="L25" s="129">
        <f>+I25+K25</f>
        <v>2430000</v>
      </c>
      <c r="M25" s="146">
        <f>IF(G25&lt;1,F25*0.45*(1-G25),0)</f>
        <v>0</v>
      </c>
      <c r="N25" s="133">
        <f>IF(G25&lt;1,(D25-M25),D25)</f>
        <v>4499999.9999999991</v>
      </c>
      <c r="O25" s="132">
        <f t="shared" si="19"/>
        <v>1</v>
      </c>
      <c r="P25" s="129">
        <f t="shared" si="20"/>
        <v>270000</v>
      </c>
      <c r="Q25" s="129">
        <f t="shared" si="21"/>
        <v>2700000</v>
      </c>
      <c r="R25" s="130">
        <f t="shared" si="22"/>
        <v>7469999.9999999991</v>
      </c>
      <c r="S25" s="134">
        <f t="shared" si="23"/>
        <v>9900000</v>
      </c>
      <c r="T25" s="58"/>
    </row>
    <row r="26" spans="1:20" x14ac:dyDescent="0.25">
      <c r="A26" s="83"/>
      <c r="B26" s="5"/>
      <c r="C26" s="6"/>
      <c r="D26" s="6"/>
      <c r="E26" s="5"/>
      <c r="F26" s="4"/>
      <c r="G26" s="8"/>
      <c r="H26" s="6"/>
      <c r="I26" s="6"/>
      <c r="J26" s="10"/>
      <c r="K26" s="6"/>
      <c r="L26" s="6"/>
      <c r="M26" s="28"/>
      <c r="N26" s="28"/>
      <c r="O26" s="10"/>
      <c r="P26" s="6"/>
      <c r="Q26" s="6"/>
      <c r="R26" s="6"/>
      <c r="S26" s="15"/>
    </row>
    <row r="27" spans="1:20" ht="15.75" thickBot="1" x14ac:dyDescent="0.3">
      <c r="A27" s="119"/>
      <c r="B27" s="120"/>
      <c r="C27" s="120"/>
      <c r="D27" s="121"/>
      <c r="E27" s="122"/>
      <c r="F27" s="121"/>
      <c r="G27" s="121"/>
      <c r="H27" s="123"/>
      <c r="I27" s="121"/>
      <c r="J27" s="123"/>
      <c r="K27" s="124"/>
      <c r="L27" s="121"/>
      <c r="M27" s="124"/>
      <c r="N27" s="125"/>
      <c r="O27" s="123"/>
      <c r="P27" s="124"/>
      <c r="Q27" s="124"/>
      <c r="R27" s="121"/>
      <c r="S27" s="126"/>
      <c r="T27" s="2"/>
    </row>
    <row r="28" spans="1:20" ht="19.5" customHeight="1" x14ac:dyDescent="0.25">
      <c r="A28" s="109" t="s">
        <v>69</v>
      </c>
      <c r="B28" s="110"/>
      <c r="C28" s="111"/>
      <c r="D28" s="112"/>
      <c r="E28" s="112"/>
      <c r="F28" s="113"/>
      <c r="G28" s="114"/>
      <c r="H28" s="111"/>
      <c r="I28" s="115"/>
      <c r="J28" s="116"/>
      <c r="K28" s="111" t="s">
        <v>57</v>
      </c>
      <c r="L28" s="115"/>
      <c r="M28" s="117"/>
      <c r="N28" s="118"/>
      <c r="O28" s="111"/>
      <c r="P28" s="111"/>
      <c r="Q28" s="115"/>
      <c r="R28" s="13"/>
      <c r="S28" s="116"/>
    </row>
    <row r="29" spans="1:20" ht="18" customHeight="1" thickBot="1" x14ac:dyDescent="0.3">
      <c r="A29" s="76">
        <v>56000000</v>
      </c>
      <c r="B29" s="9">
        <v>0.65</v>
      </c>
      <c r="C29" s="73">
        <f>+B29*(A29*0.45)</f>
        <v>16380000</v>
      </c>
      <c r="D29" s="155">
        <f>(1-B29)*(A29*0.45)</f>
        <v>8820000</v>
      </c>
      <c r="E29" s="153">
        <v>0.01</v>
      </c>
      <c r="F29" s="150">
        <v>55440000</v>
      </c>
      <c r="G29" s="8">
        <f>+B29+(E29*0.75)</f>
        <v>0.65749999999999997</v>
      </c>
      <c r="H29" s="73">
        <f>(+F29*0.45)*G29</f>
        <v>16403310</v>
      </c>
      <c r="I29" s="6">
        <f>+C29-H29</f>
        <v>-23310</v>
      </c>
      <c r="J29" s="20">
        <f>I29/A29</f>
        <v>-4.1625000000000001E-4</v>
      </c>
      <c r="K29" s="129">
        <f t="shared" ref="K29:K31" si="24">(0.02*(0.45*A29)*30*B29)-(0.02*(0.45*F29)*30*B29)</f>
        <v>98280</v>
      </c>
      <c r="L29" s="147">
        <f>+I29+K29</f>
        <v>74970</v>
      </c>
      <c r="M29" s="28">
        <f>+IF(G29&gt;1,0,(1-G29)*(F29*0.45))</f>
        <v>8544690</v>
      </c>
      <c r="N29" s="28">
        <f>IF(G29&lt;1,(D29-M29), (D29+(M29*-1)))</f>
        <v>275310</v>
      </c>
      <c r="O29" s="138">
        <f t="shared" ref="O29:O31" si="25">N29/D29</f>
        <v>3.1214285714285715E-2</v>
      </c>
      <c r="P29" s="137">
        <f t="shared" ref="P29:P31" si="26">(0.02*(0.45*A29)*30*(1-B29))-(0.02*(0.45*F29)*30*(1-B29))</f>
        <v>52920</v>
      </c>
      <c r="Q29" s="137">
        <f t="shared" ref="Q29:Q31" si="27">(0.02*(0.45*A29)*30)-(0.02*(0.45*F29)*30)</f>
        <v>151200</v>
      </c>
      <c r="R29" s="139">
        <f t="shared" ref="R29:R31" si="28">N29+P29+Q29</f>
        <v>479430</v>
      </c>
      <c r="S29" s="140">
        <f t="shared" ref="S29:S31" si="29">L29+R29</f>
        <v>554400</v>
      </c>
    </row>
    <row r="30" spans="1:20" ht="18" customHeight="1" thickBot="1" x14ac:dyDescent="0.3">
      <c r="A30" s="76">
        <v>56000000</v>
      </c>
      <c r="B30" s="9">
        <v>0.65</v>
      </c>
      <c r="C30" s="73">
        <f>+B30*(A30*0.45)</f>
        <v>16380000</v>
      </c>
      <c r="D30" s="156">
        <f>(1-B30)*(A30*0.45)</f>
        <v>8820000</v>
      </c>
      <c r="E30" s="153">
        <v>0.1</v>
      </c>
      <c r="F30" s="151">
        <v>50400000</v>
      </c>
      <c r="G30" s="8">
        <f>+B30+(E30*0.75)</f>
        <v>0.72500000000000009</v>
      </c>
      <c r="H30" s="73">
        <f>(+F30*0.45)*G30</f>
        <v>16443000.000000002</v>
      </c>
      <c r="I30" s="4">
        <f>+C30-H30</f>
        <v>-63000.000000001863</v>
      </c>
      <c r="J30" s="21">
        <f>I30/A30</f>
        <v>-1.1250000000000333E-3</v>
      </c>
      <c r="K30" s="129">
        <f t="shared" si="24"/>
        <v>982800</v>
      </c>
      <c r="L30" s="148">
        <f>+I30+K30</f>
        <v>919799.99999999814</v>
      </c>
      <c r="M30" s="28">
        <f>+IF(G30&gt;1,0,(1-G30)*(F30*0.45))</f>
        <v>6236999.9999999981</v>
      </c>
      <c r="N30" s="28">
        <f>IF(G30&lt;1,(D30-M30), (D30+(M30*-1)))</f>
        <v>2583000.0000000019</v>
      </c>
      <c r="O30" s="20">
        <f t="shared" si="25"/>
        <v>0.29285714285714309</v>
      </c>
      <c r="P30" s="78">
        <f t="shared" si="26"/>
        <v>529200</v>
      </c>
      <c r="Q30" s="78">
        <f t="shared" si="27"/>
        <v>1512000</v>
      </c>
      <c r="R30" s="141">
        <f t="shared" si="28"/>
        <v>4624200.0000000019</v>
      </c>
      <c r="S30" s="142">
        <f t="shared" si="29"/>
        <v>5544000</v>
      </c>
    </row>
    <row r="31" spans="1:20" ht="15.75" thickBot="1" x14ac:dyDescent="0.3">
      <c r="A31" s="76">
        <v>56000000</v>
      </c>
      <c r="B31" s="12">
        <v>0.77</v>
      </c>
      <c r="C31" s="74">
        <f>+B31*(A31*0.45)</f>
        <v>19404000</v>
      </c>
      <c r="D31" s="157">
        <f>(1-B31)*(A31*0.45)</f>
        <v>5796000</v>
      </c>
      <c r="E31" s="154">
        <v>0.1</v>
      </c>
      <c r="F31" s="152">
        <v>50400000</v>
      </c>
      <c r="G31" s="14">
        <f>+B31+(E31*0.75)</f>
        <v>0.84499999999999997</v>
      </c>
      <c r="H31" s="74">
        <f>(+F31*0.45)*G31</f>
        <v>19164600</v>
      </c>
      <c r="I31" s="11">
        <f>+C31-H31</f>
        <v>239400</v>
      </c>
      <c r="J31" s="29">
        <f>I31/A31</f>
        <v>4.2750000000000002E-3</v>
      </c>
      <c r="K31" s="129">
        <f t="shared" si="24"/>
        <v>1164240</v>
      </c>
      <c r="L31" s="149">
        <f>+I31+K31</f>
        <v>1403640</v>
      </c>
      <c r="M31" s="30">
        <f>+IF(G31&gt;1,0,(1-G31)*(F31*0.45))</f>
        <v>3515400.0000000005</v>
      </c>
      <c r="N31" s="30">
        <f>IF(G31&lt;1,(D31-M31), (D31+(M31*-1)))</f>
        <v>2280599.9999999995</v>
      </c>
      <c r="O31" s="82">
        <f t="shared" si="25"/>
        <v>0.39347826086956511</v>
      </c>
      <c r="P31" s="45">
        <f t="shared" si="26"/>
        <v>347760</v>
      </c>
      <c r="Q31" s="45">
        <f t="shared" si="27"/>
        <v>1512000</v>
      </c>
      <c r="R31" s="143">
        <f t="shared" si="28"/>
        <v>4140359.9999999995</v>
      </c>
      <c r="S31" s="144">
        <f t="shared" si="29"/>
        <v>5544000</v>
      </c>
    </row>
    <row r="32" spans="1:20" ht="10.5" customHeight="1" x14ac:dyDescent="0.25">
      <c r="A32" s="34"/>
      <c r="B32" s="2"/>
      <c r="C32" s="2"/>
      <c r="D32" s="17"/>
      <c r="E32" s="61"/>
      <c r="F32" s="2"/>
      <c r="G32" s="2"/>
      <c r="H32" s="2"/>
      <c r="I32" s="2"/>
      <c r="J32" s="2"/>
      <c r="K32" s="17"/>
      <c r="L32" s="2"/>
      <c r="M32" s="17"/>
      <c r="N32" s="17"/>
      <c r="O32" s="2"/>
      <c r="P32" s="17"/>
      <c r="Q32" s="2"/>
      <c r="R32" s="2"/>
      <c r="S32" s="18"/>
    </row>
    <row r="33" spans="1:21" ht="12.75" customHeight="1" thickBot="1" x14ac:dyDescent="0.3">
      <c r="A33" s="210" t="s">
        <v>56</v>
      </c>
      <c r="B33" s="210"/>
      <c r="C33" s="211">
        <v>56000000000</v>
      </c>
      <c r="D33" s="211"/>
      <c r="E33" s="62" t="s">
        <v>58</v>
      </c>
      <c r="F33" s="59"/>
      <c r="G33" s="38"/>
      <c r="H33" s="39"/>
      <c r="I33" s="60"/>
      <c r="J33" s="60"/>
      <c r="K33" s="36"/>
      <c r="L33" s="36"/>
      <c r="M33" s="60"/>
      <c r="N33" s="60"/>
      <c r="O33" s="60"/>
      <c r="P33" s="36"/>
      <c r="Q33" s="36"/>
      <c r="R33" s="36"/>
      <c r="S33" s="37"/>
    </row>
    <row r="34" spans="1:21" s="1" customFormat="1" ht="12.75" customHeight="1" x14ac:dyDescent="0.25">
      <c r="A34" s="75"/>
      <c r="B34" s="40"/>
      <c r="C34" s="40"/>
      <c r="D34" s="40"/>
      <c r="E34" s="145"/>
      <c r="F34" s="40"/>
      <c r="G34" s="41"/>
      <c r="H34" s="41"/>
      <c r="I34" s="41"/>
      <c r="J34" s="41"/>
      <c r="K34" s="42"/>
      <c r="L34" s="42"/>
      <c r="M34" s="41"/>
      <c r="N34" s="40"/>
      <c r="O34" s="41"/>
      <c r="P34" s="42"/>
      <c r="Q34" s="42"/>
      <c r="R34" s="42"/>
      <c r="S34" s="171"/>
      <c r="T34" s="42"/>
    </row>
    <row r="35" spans="1:21" ht="11.25" customHeight="1" thickBot="1" x14ac:dyDescent="0.3">
      <c r="A35" s="173"/>
      <c r="B35" s="36"/>
      <c r="C35" s="36"/>
      <c r="D35" s="36"/>
      <c r="E35" s="63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7"/>
      <c r="T35" s="2"/>
    </row>
    <row r="36" spans="1:21" ht="15.75" x14ac:dyDescent="0.25">
      <c r="A36" s="109" t="s">
        <v>70</v>
      </c>
      <c r="B36" s="13"/>
      <c r="C36" s="13"/>
      <c r="D36" s="13"/>
      <c r="F36" s="13"/>
      <c r="G36" s="13"/>
      <c r="H36" s="13"/>
      <c r="I36" s="13"/>
      <c r="J36" s="2"/>
      <c r="K36" s="2"/>
      <c r="L36" s="34"/>
      <c r="S36" s="3"/>
    </row>
    <row r="37" spans="1:21" ht="45" customHeight="1" x14ac:dyDescent="0.25">
      <c r="A37" s="43" t="s">
        <v>60</v>
      </c>
      <c r="B37" s="160" t="s">
        <v>66</v>
      </c>
      <c r="C37" s="212" t="s">
        <v>65</v>
      </c>
      <c r="D37" s="213"/>
      <c r="E37" s="160" t="s">
        <v>64</v>
      </c>
      <c r="F37" s="43" t="s">
        <v>62</v>
      </c>
      <c r="G37" s="214" t="s">
        <v>67</v>
      </c>
      <c r="H37" s="215"/>
      <c r="I37" s="176"/>
      <c r="J37" s="216"/>
      <c r="K37" s="217"/>
      <c r="L37" s="2"/>
      <c r="N37" s="2"/>
      <c r="O37" s="2"/>
      <c r="S37" s="3"/>
    </row>
    <row r="38" spans="1:21" ht="15" customHeight="1" x14ac:dyDescent="0.25">
      <c r="A38" s="163">
        <v>0.65</v>
      </c>
      <c r="B38" s="77">
        <v>0.01</v>
      </c>
      <c r="C38" s="218">
        <f>+S29*1000</f>
        <v>554400000</v>
      </c>
      <c r="D38" s="219"/>
      <c r="E38" s="158">
        <v>0.04</v>
      </c>
      <c r="F38" s="161">
        <v>30</v>
      </c>
      <c r="G38" s="220">
        <f>+C38*((1+E38)^F38)</f>
        <v>1798139579.5592694</v>
      </c>
      <c r="H38" s="218"/>
      <c r="I38" s="183"/>
      <c r="J38" s="221"/>
      <c r="K38" s="222"/>
      <c r="L38" s="2"/>
      <c r="S38" s="3"/>
      <c r="U38" s="1"/>
    </row>
    <row r="39" spans="1:21" ht="15" customHeight="1" x14ac:dyDescent="0.25">
      <c r="A39" s="164">
        <v>0.65</v>
      </c>
      <c r="B39" s="153">
        <v>0.1</v>
      </c>
      <c r="C39" s="223">
        <f t="shared" ref="C39:C40" si="30">+S30*1000</f>
        <v>5544000000</v>
      </c>
      <c r="D39" s="224"/>
      <c r="E39" s="159">
        <v>0.04</v>
      </c>
      <c r="F39" s="162">
        <v>30</v>
      </c>
      <c r="G39" s="225">
        <f t="shared" ref="G39:G40" si="31">+C39*((1+E39)^F39)</f>
        <v>17981395795.592693</v>
      </c>
      <c r="H39" s="223"/>
      <c r="I39" s="181"/>
      <c r="J39" s="226"/>
      <c r="K39" s="227"/>
      <c r="L39" s="2"/>
      <c r="S39" s="3"/>
      <c r="U39" s="1"/>
    </row>
    <row r="40" spans="1:21" ht="15.75" thickBot="1" x14ac:dyDescent="0.3">
      <c r="A40" s="169">
        <v>0.77</v>
      </c>
      <c r="B40" s="170">
        <v>0.1</v>
      </c>
      <c r="C40" s="187">
        <f t="shared" si="30"/>
        <v>5544000000</v>
      </c>
      <c r="D40" s="188"/>
      <c r="E40" s="167">
        <v>0.04</v>
      </c>
      <c r="F40" s="168">
        <v>30</v>
      </c>
      <c r="G40" s="187">
        <f t="shared" si="31"/>
        <v>17981395795.592693</v>
      </c>
      <c r="H40" s="189"/>
      <c r="I40" s="182"/>
      <c r="J40" s="190"/>
      <c r="K40" s="191"/>
      <c r="L40" s="165"/>
      <c r="M40" s="166"/>
      <c r="N40" s="166"/>
      <c r="O40" s="166"/>
      <c r="P40" s="166"/>
      <c r="Q40" s="166"/>
      <c r="R40" s="166"/>
      <c r="S40" s="172"/>
    </row>
    <row r="41" spans="1:21" ht="15.75" thickTop="1" x14ac:dyDescent="0.25"/>
    <row r="45" spans="1:21" x14ac:dyDescent="0.25">
      <c r="C45" s="2"/>
    </row>
  </sheetData>
  <mergeCells count="22">
    <mergeCell ref="C38:D38"/>
    <mergeCell ref="G38:H38"/>
    <mergeCell ref="J38:K38"/>
    <mergeCell ref="C39:D39"/>
    <mergeCell ref="G39:H39"/>
    <mergeCell ref="J39:K39"/>
    <mergeCell ref="C40:D40"/>
    <mergeCell ref="G40:H40"/>
    <mergeCell ref="J40:K40"/>
    <mergeCell ref="B1:S1"/>
    <mergeCell ref="A2:S2"/>
    <mergeCell ref="A4:D4"/>
    <mergeCell ref="E4:R4"/>
    <mergeCell ref="A6:D6"/>
    <mergeCell ref="E6:F6"/>
    <mergeCell ref="G6:L6"/>
    <mergeCell ref="M6:R6"/>
    <mergeCell ref="A33:B33"/>
    <mergeCell ref="C33:D33"/>
    <mergeCell ref="C37:D37"/>
    <mergeCell ref="G37:H37"/>
    <mergeCell ref="J37:K37"/>
  </mergeCells>
  <pageMargins left="0.25" right="0.25" top="0.75" bottom="0.75" header="0.3" footer="0.3"/>
  <pageSetup paperSize="17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workbookViewId="0">
      <selection sqref="A1:XFD1"/>
    </sheetView>
  </sheetViews>
  <sheetFormatPr defaultRowHeight="15" x14ac:dyDescent="0.25"/>
  <cols>
    <col min="1" max="1" width="14" customWidth="1"/>
    <col min="2" max="2" width="10" customWidth="1"/>
    <col min="3" max="3" width="14.42578125" customWidth="1"/>
    <col min="4" max="4" width="13.5703125" customWidth="1"/>
    <col min="5" max="5" width="11.5703125" style="16" customWidth="1"/>
    <col min="6" max="6" width="14" customWidth="1"/>
    <col min="7" max="7" width="10.7109375" customWidth="1"/>
    <col min="8" max="9" width="14" customWidth="1"/>
    <col min="10" max="10" width="12.28515625" customWidth="1"/>
    <col min="11" max="11" width="16.7109375" customWidth="1"/>
    <col min="12" max="12" width="15.28515625" customWidth="1"/>
    <col min="13" max="13" width="17.140625" customWidth="1"/>
    <col min="14" max="14" width="16" customWidth="1"/>
    <col min="15" max="15" width="12.140625" customWidth="1"/>
    <col min="16" max="16" width="15.140625" customWidth="1"/>
    <col min="17" max="17" width="14.7109375" customWidth="1"/>
    <col min="18" max="18" width="13.28515625" customWidth="1"/>
    <col min="19" max="19" width="15.5703125" customWidth="1"/>
  </cols>
  <sheetData>
    <row r="1" spans="1:20" ht="33" customHeight="1" thickBot="1" x14ac:dyDescent="0.3">
      <c r="A1" s="186" t="s">
        <v>71</v>
      </c>
      <c r="B1" s="192" t="s">
        <v>85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4"/>
    </row>
    <row r="2" spans="1:20" ht="31.5" customHeight="1" thickTop="1" thickBot="1" x14ac:dyDescent="0.3">
      <c r="A2" s="195" t="s">
        <v>61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7"/>
    </row>
    <row r="3" spans="1:20" ht="22.5" hidden="1" customHeight="1" thickTop="1" thickBot="1" x14ac:dyDescent="0.25">
      <c r="A3" s="31" t="s">
        <v>1</v>
      </c>
      <c r="B3" s="32" t="s">
        <v>3</v>
      </c>
      <c r="C3" s="31" t="s">
        <v>5</v>
      </c>
      <c r="D3" s="33" t="s">
        <v>4</v>
      </c>
      <c r="E3" s="50" t="s">
        <v>0</v>
      </c>
      <c r="F3" s="32" t="s">
        <v>2</v>
      </c>
      <c r="G3" s="32" t="s">
        <v>6</v>
      </c>
      <c r="H3" s="32" t="s">
        <v>7</v>
      </c>
      <c r="I3" s="31" t="s">
        <v>8</v>
      </c>
      <c r="J3" s="31" t="s">
        <v>9</v>
      </c>
      <c r="K3" s="33" t="s">
        <v>12</v>
      </c>
      <c r="L3" s="33" t="s">
        <v>13</v>
      </c>
      <c r="M3" s="32" t="s">
        <v>10</v>
      </c>
      <c r="N3" s="32" t="s">
        <v>11</v>
      </c>
      <c r="O3" s="31" t="s">
        <v>9</v>
      </c>
      <c r="P3" s="33" t="s">
        <v>12</v>
      </c>
      <c r="Q3" s="33"/>
      <c r="R3" s="33" t="s">
        <v>13</v>
      </c>
      <c r="S3" s="33" t="s">
        <v>13</v>
      </c>
    </row>
    <row r="4" spans="1:20" ht="22.5" customHeight="1" thickTop="1" x14ac:dyDescent="0.35">
      <c r="A4" s="198" t="s">
        <v>14</v>
      </c>
      <c r="B4" s="199"/>
      <c r="C4" s="199"/>
      <c r="D4" s="200"/>
      <c r="E4" s="201" t="s">
        <v>28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2"/>
      <c r="S4" s="177"/>
    </row>
    <row r="5" spans="1:20" ht="18" customHeight="1" x14ac:dyDescent="0.3">
      <c r="A5" s="69" t="s">
        <v>0</v>
      </c>
      <c r="B5" s="70" t="s">
        <v>1</v>
      </c>
      <c r="C5" s="70" t="s">
        <v>2</v>
      </c>
      <c r="D5" s="94" t="s">
        <v>3</v>
      </c>
      <c r="E5" s="71" t="s">
        <v>4</v>
      </c>
      <c r="F5" s="71" t="s">
        <v>5</v>
      </c>
      <c r="G5" s="71" t="s">
        <v>6</v>
      </c>
      <c r="H5" s="71" t="s">
        <v>7</v>
      </c>
      <c r="I5" s="71" t="s">
        <v>8</v>
      </c>
      <c r="J5" s="71" t="s">
        <v>9</v>
      </c>
      <c r="K5" s="71" t="s">
        <v>10</v>
      </c>
      <c r="L5" s="71" t="s">
        <v>11</v>
      </c>
      <c r="M5" s="71" t="s">
        <v>12</v>
      </c>
      <c r="N5" s="71" t="s">
        <v>13</v>
      </c>
      <c r="O5" s="71" t="s">
        <v>51</v>
      </c>
      <c r="P5" s="71" t="s">
        <v>52</v>
      </c>
      <c r="Q5" s="71" t="s">
        <v>53</v>
      </c>
      <c r="R5" s="72" t="s">
        <v>54</v>
      </c>
      <c r="S5" s="178" t="s">
        <v>55</v>
      </c>
    </row>
    <row r="6" spans="1:20" s="44" customFormat="1" ht="25.5" customHeight="1" x14ac:dyDescent="0.35">
      <c r="A6" s="203" t="s">
        <v>50</v>
      </c>
      <c r="B6" s="204"/>
      <c r="C6" s="204"/>
      <c r="D6" s="205"/>
      <c r="E6" s="204"/>
      <c r="F6" s="205"/>
      <c r="G6" s="206" t="s">
        <v>17</v>
      </c>
      <c r="H6" s="206"/>
      <c r="I6" s="206"/>
      <c r="J6" s="206"/>
      <c r="K6" s="206"/>
      <c r="L6" s="207"/>
      <c r="M6" s="208" t="s">
        <v>18</v>
      </c>
      <c r="N6" s="208"/>
      <c r="O6" s="208"/>
      <c r="P6" s="208"/>
      <c r="Q6" s="208"/>
      <c r="R6" s="209"/>
      <c r="S6" s="179" t="s">
        <v>49</v>
      </c>
    </row>
    <row r="7" spans="1:20" s="27" customFormat="1" ht="40.5" customHeight="1" thickBot="1" x14ac:dyDescent="0.25">
      <c r="A7" s="46"/>
      <c r="B7" s="51"/>
      <c r="C7" s="51" t="s">
        <v>26</v>
      </c>
      <c r="D7" s="93" t="s">
        <v>27</v>
      </c>
      <c r="E7" s="92"/>
      <c r="F7" s="96"/>
      <c r="G7" s="95" t="s">
        <v>75</v>
      </c>
      <c r="H7" s="54" t="s">
        <v>84</v>
      </c>
      <c r="I7" s="53" t="s">
        <v>29</v>
      </c>
      <c r="J7" s="53" t="s">
        <v>30</v>
      </c>
      <c r="K7" s="54" t="s">
        <v>76</v>
      </c>
      <c r="L7" s="99" t="s">
        <v>31</v>
      </c>
      <c r="M7" s="98" t="s">
        <v>35</v>
      </c>
      <c r="N7" s="55" t="s">
        <v>39</v>
      </c>
      <c r="O7" s="49" t="s">
        <v>44</v>
      </c>
      <c r="P7" s="55" t="s">
        <v>77</v>
      </c>
      <c r="Q7" s="55" t="s">
        <v>79</v>
      </c>
      <c r="R7" s="102" t="s">
        <v>46</v>
      </c>
      <c r="S7" s="52" t="s">
        <v>48</v>
      </c>
    </row>
    <row r="8" spans="1:20" ht="93" customHeight="1" thickBot="1" x14ac:dyDescent="0.3">
      <c r="A8" s="103" t="s">
        <v>21</v>
      </c>
      <c r="B8" s="47" t="s">
        <v>32</v>
      </c>
      <c r="C8" s="48" t="s">
        <v>23</v>
      </c>
      <c r="D8" s="57" t="s">
        <v>22</v>
      </c>
      <c r="E8" s="104" t="s">
        <v>25</v>
      </c>
      <c r="F8" s="105" t="s">
        <v>24</v>
      </c>
      <c r="G8" s="106" t="s">
        <v>33</v>
      </c>
      <c r="H8" s="48" t="s">
        <v>20</v>
      </c>
      <c r="I8" s="48" t="s">
        <v>15</v>
      </c>
      <c r="J8" s="48" t="s">
        <v>16</v>
      </c>
      <c r="K8" s="48" t="s">
        <v>41</v>
      </c>
      <c r="L8" s="107" t="s">
        <v>42</v>
      </c>
      <c r="M8" s="108" t="s">
        <v>36</v>
      </c>
      <c r="N8" s="56" t="s">
        <v>37</v>
      </c>
      <c r="O8" s="56" t="s">
        <v>38</v>
      </c>
      <c r="P8" s="56" t="s">
        <v>40</v>
      </c>
      <c r="Q8" s="56" t="s">
        <v>43</v>
      </c>
      <c r="R8" s="57" t="s">
        <v>45</v>
      </c>
      <c r="S8" s="105" t="s">
        <v>47</v>
      </c>
      <c r="T8" s="27"/>
    </row>
    <row r="9" spans="1:20" x14ac:dyDescent="0.25">
      <c r="A9" s="83">
        <v>100000000</v>
      </c>
      <c r="B9" s="5">
        <v>0.5</v>
      </c>
      <c r="C9" s="6">
        <f>(A9*0.45)*(B9)</f>
        <v>22500000</v>
      </c>
      <c r="D9" s="25">
        <f>(A9*0.45)*(1-B9)</f>
        <v>22500000</v>
      </c>
      <c r="E9" s="79">
        <f>(A9-F9)/A9</f>
        <v>0.01</v>
      </c>
      <c r="F9" s="22">
        <v>99000000</v>
      </c>
      <c r="G9" s="80">
        <f>+B9+(0.75*E9)</f>
        <v>0.50749999999999995</v>
      </c>
      <c r="H9" s="6">
        <f>IF(G9&gt;1,F9*0.45,(F9*0.45*G9))</f>
        <v>22609124.999999996</v>
      </c>
      <c r="I9" s="6">
        <f>C9-H9</f>
        <v>-109124.99999999627</v>
      </c>
      <c r="J9" s="81">
        <f>I9/C9</f>
        <v>-4.8499999999998345E-3</v>
      </c>
      <c r="K9" s="6">
        <f>(0.02*(0.45*A9)*30*B9)-(0.02*(0.45*F9)*30*B9)</f>
        <v>135000</v>
      </c>
      <c r="L9" s="25">
        <f>+I9+K9</f>
        <v>25875.000000003725</v>
      </c>
      <c r="M9" s="28">
        <f>IF(G9&lt;1,F9*0.45*(1-G9),0)</f>
        <v>21940875.000000004</v>
      </c>
      <c r="N9" s="28">
        <f>IF(G9&lt;1,(D9-M9),D9)</f>
        <v>559124.99999999627</v>
      </c>
      <c r="O9" s="81">
        <f>N9/D9</f>
        <v>2.4849999999999834E-2</v>
      </c>
      <c r="P9" s="6">
        <f>(0.02*(0.45*A9)*30*(1-B9))-(0.02*(0.45*F9)*30*(1-B9))</f>
        <v>135000</v>
      </c>
      <c r="Q9" s="6">
        <f>(0.02*(0.45*A9)*30)-(0.02*(0.45*F9)*30)</f>
        <v>270000</v>
      </c>
      <c r="R9" s="25">
        <f>N9+P9+Q9</f>
        <v>964124.99999999627</v>
      </c>
      <c r="S9" s="15">
        <f>L9+R9</f>
        <v>990000</v>
      </c>
      <c r="T9" s="27"/>
    </row>
    <row r="10" spans="1:20" x14ac:dyDescent="0.25">
      <c r="A10" s="34"/>
      <c r="B10" s="7"/>
      <c r="C10" s="6">
        <f t="shared" ref="C10:C25" si="0">(A10*0.45)*(B10)</f>
        <v>0</v>
      </c>
      <c r="D10" s="25">
        <f t="shared" ref="D10:D25" si="1">(A10*0.45)*(1-B10)</f>
        <v>0</v>
      </c>
      <c r="E10" s="84"/>
      <c r="F10" s="23"/>
      <c r="G10" s="26"/>
      <c r="H10" s="2"/>
      <c r="I10" s="2"/>
      <c r="J10" s="8"/>
      <c r="K10" s="6"/>
      <c r="L10" s="23"/>
      <c r="M10" s="28"/>
      <c r="N10" s="28"/>
      <c r="O10" s="8"/>
      <c r="P10" s="2"/>
      <c r="Q10" s="2"/>
      <c r="R10" s="23"/>
      <c r="S10" s="3"/>
    </row>
    <row r="11" spans="1:20" x14ac:dyDescent="0.25">
      <c r="A11" s="83">
        <v>100000000</v>
      </c>
      <c r="B11" s="5">
        <v>0.96</v>
      </c>
      <c r="C11" s="6">
        <f t="shared" si="0"/>
        <v>43200000</v>
      </c>
      <c r="D11" s="25">
        <f t="shared" si="1"/>
        <v>1800000.0000000016</v>
      </c>
      <c r="E11" s="79">
        <f>(A11-F11)/A11</f>
        <v>0.01</v>
      </c>
      <c r="F11" s="22">
        <v>99000000</v>
      </c>
      <c r="G11" s="80">
        <f>+B11+(0.75*E11)</f>
        <v>0.96749999999999992</v>
      </c>
      <c r="H11" s="6">
        <f>IF(G11&gt;1,F11*0.45,(F11*0.45*G11))</f>
        <v>43102124.999999993</v>
      </c>
      <c r="I11" s="6">
        <f>C11-H11</f>
        <v>97875.000000007451</v>
      </c>
      <c r="J11" s="81">
        <f>I11/C11</f>
        <v>2.2656250000001724E-3</v>
      </c>
      <c r="K11" s="6">
        <f>(0.02*(0.45*A11)*30*B11)-(0.02*(0.45*F11)*30*B11)</f>
        <v>259200</v>
      </c>
      <c r="L11" s="25">
        <f>+I11+K11</f>
        <v>357075.00000000745</v>
      </c>
      <c r="M11" s="28">
        <f>IF(G11&lt;1,F11*0.45*(1-G11),0)</f>
        <v>1447875.0000000037</v>
      </c>
      <c r="N11" s="28">
        <f>IF(G11&lt;1,(D11-M11),D11)</f>
        <v>352124.9999999979</v>
      </c>
      <c r="O11" s="81">
        <f>N11/D11</f>
        <v>0.19562499999999866</v>
      </c>
      <c r="P11" s="6">
        <f>(0.02*(0.45*A11)*30*(1-B11))-(0.02*(0.45*F11)*30*(1-B11))</f>
        <v>10800</v>
      </c>
      <c r="Q11" s="6">
        <f>(0.02*(0.45*A11)*30)-(0.02*(0.45*F11)*30)</f>
        <v>270000</v>
      </c>
      <c r="R11" s="25">
        <f>N11+P11+Q11</f>
        <v>632924.9999999979</v>
      </c>
      <c r="S11" s="15">
        <f>L11+R11</f>
        <v>990000.00000000536</v>
      </c>
    </row>
    <row r="12" spans="1:20" x14ac:dyDescent="0.25">
      <c r="A12" s="34"/>
      <c r="B12" s="7"/>
      <c r="C12" s="6"/>
      <c r="D12" s="25"/>
      <c r="E12" s="84"/>
      <c r="F12" s="23"/>
      <c r="G12" s="26"/>
      <c r="H12" s="2"/>
      <c r="I12" s="2"/>
      <c r="J12" s="8"/>
      <c r="K12" s="2"/>
      <c r="L12" s="23"/>
      <c r="M12" s="28"/>
      <c r="N12" s="28"/>
      <c r="O12" s="8"/>
      <c r="P12" s="2"/>
      <c r="Q12" s="2"/>
      <c r="R12" s="23"/>
      <c r="S12" s="3"/>
    </row>
    <row r="13" spans="1:20" s="1" customFormat="1" x14ac:dyDescent="0.25">
      <c r="A13" s="90">
        <v>100000000</v>
      </c>
      <c r="B13" s="5">
        <v>0.45452999999999999</v>
      </c>
      <c r="C13" s="6">
        <f t="shared" si="0"/>
        <v>20453850</v>
      </c>
      <c r="D13" s="25">
        <f t="shared" si="1"/>
        <v>24546150</v>
      </c>
      <c r="E13" s="79">
        <f>(A13-F13)/A13</f>
        <v>0.1</v>
      </c>
      <c r="F13" s="24">
        <v>90000000</v>
      </c>
      <c r="G13" s="80">
        <f>+B13+(0.75*E13)</f>
        <v>0.52953000000000006</v>
      </c>
      <c r="H13" s="6">
        <f>IF(G13&gt;1,F13*0.45,(F13*0.45*G13))</f>
        <v>21445965.000000004</v>
      </c>
      <c r="I13" s="6">
        <f>C13-H13</f>
        <v>-992115.00000000373</v>
      </c>
      <c r="J13" s="81">
        <f t="shared" ref="J13:J15" si="2">I13/C13</f>
        <v>-4.8505049171672018E-2</v>
      </c>
      <c r="K13" s="6">
        <f>(0.02*(0.45*A13)*30*B13)-(0.02*(0.45*F13)*30*B13)</f>
        <v>1227231</v>
      </c>
      <c r="L13" s="25">
        <f>+I13+K13</f>
        <v>235115.99999999627</v>
      </c>
      <c r="M13" s="28">
        <f>IF(G13&lt;1,F13*0.45*(1-G13),0)</f>
        <v>19054034.999999996</v>
      </c>
      <c r="N13" s="28">
        <f>IF(G13&lt;1,(D13-M13),D13)</f>
        <v>5492115.0000000037</v>
      </c>
      <c r="O13" s="81">
        <f t="shared" ref="O13:O15" si="3">N13/D13</f>
        <v>0.22374649384934109</v>
      </c>
      <c r="P13" s="6">
        <f t="shared" ref="P13:P15" si="4">(0.02*(0.45*A13)*30*(1-B13))-(0.02*(0.45*F13)*30*(1-B13))</f>
        <v>1472769</v>
      </c>
      <c r="Q13" s="6">
        <f t="shared" ref="Q13:Q15" si="5">(0.02*(0.45*A13)*30)-(0.02*(0.45*F13)*30)</f>
        <v>2700000</v>
      </c>
      <c r="R13" s="25">
        <f t="shared" ref="R13:R15" si="6">N13+P13+Q13</f>
        <v>9664884.0000000037</v>
      </c>
      <c r="S13" s="15">
        <f t="shared" ref="S13:S15" si="7">L13+R13</f>
        <v>9900000</v>
      </c>
    </row>
    <row r="14" spans="1:20" x14ac:dyDescent="0.25">
      <c r="A14" s="90">
        <v>100000000</v>
      </c>
      <c r="B14" s="5">
        <v>0.5</v>
      </c>
      <c r="C14" s="6">
        <f t="shared" si="0"/>
        <v>22500000</v>
      </c>
      <c r="D14" s="25">
        <f t="shared" si="1"/>
        <v>22500000</v>
      </c>
      <c r="E14" s="79">
        <f>(A14-F14)/A14</f>
        <v>0.2</v>
      </c>
      <c r="F14" s="24">
        <v>80000000</v>
      </c>
      <c r="G14" s="80">
        <f>+B14+(0.75*E14)</f>
        <v>0.65</v>
      </c>
      <c r="H14" s="6">
        <f>IF(G14&gt;1,F14*0.45,(F14*0.45*G14))</f>
        <v>23400000</v>
      </c>
      <c r="I14" s="6">
        <f>C14-H14</f>
        <v>-900000</v>
      </c>
      <c r="J14" s="81">
        <f t="shared" si="2"/>
        <v>-0.04</v>
      </c>
      <c r="K14" s="6">
        <f>(0.02*(0.45*A14)*30*B14)-(0.02*(0.45*F14)*30*B14)</f>
        <v>2700000</v>
      </c>
      <c r="L14" s="25">
        <f>+I14+K14</f>
        <v>1800000</v>
      </c>
      <c r="M14" s="28">
        <f>IF(G14&lt;1,F14*0.45*(1-G14),0)</f>
        <v>12600000</v>
      </c>
      <c r="N14" s="28">
        <f>IF(G14&lt;1,(D14-M14),D14)</f>
        <v>9900000</v>
      </c>
      <c r="O14" s="81">
        <f t="shared" si="3"/>
        <v>0.44</v>
      </c>
      <c r="P14" s="6">
        <f t="shared" si="4"/>
        <v>2700000</v>
      </c>
      <c r="Q14" s="6">
        <f t="shared" si="5"/>
        <v>5400000</v>
      </c>
      <c r="R14" s="25">
        <f t="shared" si="6"/>
        <v>18000000</v>
      </c>
      <c r="S14" s="15">
        <f t="shared" si="7"/>
        <v>19800000</v>
      </c>
    </row>
    <row r="15" spans="1:20" x14ac:dyDescent="0.25">
      <c r="A15" s="90">
        <v>100000000</v>
      </c>
      <c r="B15" s="5">
        <v>0.5</v>
      </c>
      <c r="C15" s="6">
        <f t="shared" si="0"/>
        <v>22500000</v>
      </c>
      <c r="D15" s="25">
        <f t="shared" si="1"/>
        <v>22500000</v>
      </c>
      <c r="E15" s="79">
        <f>(A15-F15)/A15</f>
        <v>0.3</v>
      </c>
      <c r="F15" s="24">
        <v>70000000</v>
      </c>
      <c r="G15" s="80">
        <f>+B15+(0.75*E15)</f>
        <v>0.72499999999999998</v>
      </c>
      <c r="H15" s="6">
        <f>IF(G15&gt;1,F15*0.45,(F15*0.45*G15))</f>
        <v>22837500</v>
      </c>
      <c r="I15" s="6">
        <f>C15-H15</f>
        <v>-337500</v>
      </c>
      <c r="J15" s="81">
        <f t="shared" si="2"/>
        <v>-1.4999999999999999E-2</v>
      </c>
      <c r="K15" s="6">
        <f>(0.02*(0.45*A15)*30*B15)-(0.02*(0.45*F15)*30*B15)</f>
        <v>4050000</v>
      </c>
      <c r="L15" s="100">
        <f>+I15+K15</f>
        <v>3712500</v>
      </c>
      <c r="M15" s="28">
        <f>IF(G15&lt;1,F15*0.45*(1-G15),0)</f>
        <v>8662500</v>
      </c>
      <c r="N15" s="28">
        <f>IF(G15&lt;1,(D15-M15),D15)</f>
        <v>13837500</v>
      </c>
      <c r="O15" s="81">
        <f t="shared" si="3"/>
        <v>0.61499999999999999</v>
      </c>
      <c r="P15" s="6">
        <f t="shared" si="4"/>
        <v>4050000</v>
      </c>
      <c r="Q15" s="6">
        <f t="shared" si="5"/>
        <v>8100000</v>
      </c>
      <c r="R15" s="25">
        <f t="shared" si="6"/>
        <v>25987500</v>
      </c>
      <c r="S15" s="15">
        <f t="shared" si="7"/>
        <v>29700000</v>
      </c>
    </row>
    <row r="16" spans="1:20" x14ac:dyDescent="0.25">
      <c r="A16" s="34"/>
      <c r="B16" s="7"/>
      <c r="C16" s="6">
        <f t="shared" si="0"/>
        <v>0</v>
      </c>
      <c r="D16" s="25">
        <f t="shared" si="1"/>
        <v>0</v>
      </c>
      <c r="E16" s="84"/>
      <c r="F16" s="23"/>
      <c r="G16" s="26"/>
      <c r="H16" s="2"/>
      <c r="I16" s="2"/>
      <c r="J16" s="8"/>
      <c r="K16" s="2"/>
      <c r="L16" s="23"/>
      <c r="M16" s="28"/>
      <c r="N16" s="28"/>
      <c r="O16" s="8"/>
      <c r="P16" s="2"/>
      <c r="Q16" s="2"/>
      <c r="R16" s="23"/>
      <c r="S16" s="3"/>
    </row>
    <row r="17" spans="1:19" x14ac:dyDescent="0.25">
      <c r="A17" s="90">
        <v>100000000</v>
      </c>
      <c r="B17" s="5">
        <v>0.96</v>
      </c>
      <c r="C17" s="6">
        <f t="shared" si="0"/>
        <v>43200000</v>
      </c>
      <c r="D17" s="25">
        <f t="shared" si="1"/>
        <v>1800000.0000000016</v>
      </c>
      <c r="E17" s="79">
        <f>(A17-F17)/A17</f>
        <v>0.1</v>
      </c>
      <c r="F17" s="24">
        <v>90000000</v>
      </c>
      <c r="G17" s="80">
        <f>+B17+(0.75*E17)</f>
        <v>1.0349999999999999</v>
      </c>
      <c r="H17" s="6">
        <f>IF(G17&gt;1,F17*0.45,(F17*0.45*G17))</f>
        <v>40500000</v>
      </c>
      <c r="I17" s="6">
        <f>C17-H17</f>
        <v>2700000</v>
      </c>
      <c r="J17" s="81">
        <f t="shared" ref="J17:J19" si="8">I17/C17</f>
        <v>6.25E-2</v>
      </c>
      <c r="K17" s="6">
        <f>(0.02*(0.45*A17)*30*B17)-(0.02*(0.45*F17)*30*B17)</f>
        <v>2592000</v>
      </c>
      <c r="L17" s="100">
        <f>+I17+K17</f>
        <v>5292000</v>
      </c>
      <c r="M17" s="28">
        <f>IF(G17&gt;1,0,(F17*0.45*(1-G17)))</f>
        <v>0</v>
      </c>
      <c r="N17" s="28">
        <f>IF(G17&lt;1,(D17-M17),D17)</f>
        <v>1800000.0000000016</v>
      </c>
      <c r="O17" s="81">
        <f t="shared" ref="O17:O19" si="9">N17/D17</f>
        <v>1</v>
      </c>
      <c r="P17" s="6">
        <f t="shared" ref="P17:P19" si="10">(0.02*(0.45*A17)*30*(1-B17))-(0.02*(0.45*F17)*30*(1-B17))</f>
        <v>108000.00000000012</v>
      </c>
      <c r="Q17" s="6">
        <f t="shared" ref="Q17:Q19" si="11">(0.02*(0.45*A17)*30)-(0.02*(0.45*F17)*30)</f>
        <v>2700000</v>
      </c>
      <c r="R17" s="25">
        <f t="shared" ref="R17:R19" si="12">N17+P17+Q17</f>
        <v>4608000.0000000019</v>
      </c>
      <c r="S17" s="15">
        <f t="shared" ref="S17:S19" si="13">L17+R17</f>
        <v>9900000.0000000019</v>
      </c>
    </row>
    <row r="18" spans="1:19" x14ac:dyDescent="0.25">
      <c r="A18" s="83">
        <v>100000000</v>
      </c>
      <c r="B18" s="5">
        <v>0.96</v>
      </c>
      <c r="C18" s="6">
        <f t="shared" si="0"/>
        <v>43200000</v>
      </c>
      <c r="D18" s="25">
        <f t="shared" si="1"/>
        <v>1800000.0000000016</v>
      </c>
      <c r="E18" s="79">
        <f>(A18-F18)/A18</f>
        <v>0.2</v>
      </c>
      <c r="F18" s="24">
        <v>80000000</v>
      </c>
      <c r="G18" s="80">
        <f>+B18+(0.75*E18)</f>
        <v>1.1099999999999999</v>
      </c>
      <c r="H18" s="6">
        <f>IF(G18&gt;1,F18*0.45,(F18*0.45*G18))</f>
        <v>36000000</v>
      </c>
      <c r="I18" s="6">
        <f>C18-H18</f>
        <v>7200000</v>
      </c>
      <c r="J18" s="81">
        <f t="shared" si="8"/>
        <v>0.16666666666666666</v>
      </c>
      <c r="K18" s="6">
        <f>(0.02*(0.45*A18)*30*B18)-(0.02*(0.45*F18)*30*B18)</f>
        <v>5184000</v>
      </c>
      <c r="L18" s="25">
        <f>+I18+K18</f>
        <v>12384000</v>
      </c>
      <c r="M18" s="28">
        <f>IF(G18&gt;1,0,(F18*0.45*(1-G18)))</f>
        <v>0</v>
      </c>
      <c r="N18" s="28">
        <f>IF(G18&lt;1,(D18-M18),D18)</f>
        <v>1800000.0000000016</v>
      </c>
      <c r="O18" s="81">
        <f t="shared" si="9"/>
        <v>1</v>
      </c>
      <c r="P18" s="6">
        <f t="shared" si="10"/>
        <v>216000.00000000012</v>
      </c>
      <c r="Q18" s="6">
        <f t="shared" si="11"/>
        <v>5400000</v>
      </c>
      <c r="R18" s="25">
        <f t="shared" si="12"/>
        <v>7416000.0000000019</v>
      </c>
      <c r="S18" s="15">
        <f t="shared" si="13"/>
        <v>19800000</v>
      </c>
    </row>
    <row r="19" spans="1:19" x14ac:dyDescent="0.25">
      <c r="A19" s="83">
        <v>100000000</v>
      </c>
      <c r="B19" s="5">
        <v>0.96</v>
      </c>
      <c r="C19" s="6">
        <f t="shared" si="0"/>
        <v>43200000</v>
      </c>
      <c r="D19" s="25">
        <f t="shared" si="1"/>
        <v>1800000.0000000016</v>
      </c>
      <c r="E19" s="79">
        <f>(A19-F19)/A19</f>
        <v>0.3</v>
      </c>
      <c r="F19" s="24">
        <v>70000000</v>
      </c>
      <c r="G19" s="80">
        <f>+B19+(0.75*E19)</f>
        <v>1.1850000000000001</v>
      </c>
      <c r="H19" s="6">
        <f>IF(G19&gt;1,F19*0.45,(F19*0.45*G19))</f>
        <v>31500000</v>
      </c>
      <c r="I19" s="6">
        <f>C19-H19</f>
        <v>11700000</v>
      </c>
      <c r="J19" s="81">
        <f t="shared" si="8"/>
        <v>0.27083333333333331</v>
      </c>
      <c r="K19" s="6">
        <f>(0.02*(0.45*A19)*30*B19)-(0.02*(0.45*F19)*30*B19)</f>
        <v>7776000</v>
      </c>
      <c r="L19" s="25">
        <f>+I19+K19</f>
        <v>19476000</v>
      </c>
      <c r="M19" s="28">
        <f>IF(G19&gt;1,0,(F19*0.45*(1-G19)))</f>
        <v>0</v>
      </c>
      <c r="N19" s="28">
        <f>IF(G19&lt;1,(D19-M19),D19)</f>
        <v>1800000.0000000016</v>
      </c>
      <c r="O19" s="81">
        <f t="shared" si="9"/>
        <v>1</v>
      </c>
      <c r="P19" s="6">
        <f t="shared" si="10"/>
        <v>324000.00000000023</v>
      </c>
      <c r="Q19" s="6">
        <f t="shared" si="11"/>
        <v>8100000</v>
      </c>
      <c r="R19" s="25">
        <f t="shared" si="12"/>
        <v>10224000.000000002</v>
      </c>
      <c r="S19" s="15">
        <f t="shared" si="13"/>
        <v>29700000</v>
      </c>
    </row>
    <row r="20" spans="1:19" x14ac:dyDescent="0.25">
      <c r="A20" s="19"/>
      <c r="B20" s="85"/>
      <c r="C20" s="6"/>
      <c r="D20" s="25"/>
      <c r="E20" s="84"/>
      <c r="F20" s="97"/>
      <c r="G20" s="87"/>
      <c r="H20" s="86"/>
      <c r="I20" s="61"/>
      <c r="J20" s="88"/>
      <c r="K20" s="61"/>
      <c r="L20" s="101"/>
      <c r="M20" s="28"/>
      <c r="N20" s="89"/>
      <c r="O20" s="88"/>
      <c r="P20" s="61"/>
      <c r="Q20" s="61"/>
      <c r="R20" s="101"/>
      <c r="S20" s="91"/>
    </row>
    <row r="21" spans="1:19" x14ac:dyDescent="0.25">
      <c r="A21" s="83">
        <v>100000000</v>
      </c>
      <c r="B21" s="5">
        <v>0.5</v>
      </c>
      <c r="C21" s="6">
        <f t="shared" si="0"/>
        <v>22500000</v>
      </c>
      <c r="D21" s="25">
        <f t="shared" si="1"/>
        <v>22500000</v>
      </c>
      <c r="E21" s="79">
        <f>(A21-F21)/A21</f>
        <v>0.1</v>
      </c>
      <c r="F21" s="22">
        <v>90000000</v>
      </c>
      <c r="G21" s="80">
        <f t="shared" ref="G21:G25" si="14">+B21+(0.75*E21)</f>
        <v>0.57499999999999996</v>
      </c>
      <c r="H21" s="6">
        <f>IF(G21&gt;1,F21*0.45,(F21*0.45*G21))</f>
        <v>23287500</v>
      </c>
      <c r="I21" s="6">
        <f>C21-H21</f>
        <v>-787500</v>
      </c>
      <c r="J21" s="81">
        <f t="shared" ref="J21:J25" si="15">I21/C21</f>
        <v>-3.5000000000000003E-2</v>
      </c>
      <c r="K21" s="6">
        <f t="shared" ref="K21:K25" si="16">(0.02*(0.45*A21)*30*B21)-(0.02*(0.45*F21)*30*B21)</f>
        <v>1350000</v>
      </c>
      <c r="L21" s="25">
        <f>+I21+K21</f>
        <v>562500</v>
      </c>
      <c r="M21" s="28">
        <f>IF(G21&lt;1,F21*0.45*(1-G21),0)</f>
        <v>17212500</v>
      </c>
      <c r="N21" s="28">
        <f>IF(G21&lt;1,(D21-M21),D21)</f>
        <v>5287500</v>
      </c>
      <c r="O21" s="81">
        <f t="shared" ref="O21:O25" si="17">N21/D21</f>
        <v>0.23499999999999999</v>
      </c>
      <c r="P21" s="6">
        <f t="shared" ref="P21:P25" si="18">(0.02*(0.45*A21)*30*(1-B21))-(0.02*(0.45*F21)*30*(1-B21))</f>
        <v>1350000</v>
      </c>
      <c r="Q21" s="6">
        <f t="shared" ref="Q21:Q25" si="19">(0.02*(0.45*A21)*30)-(0.02*(0.45*F21)*30)</f>
        <v>2700000</v>
      </c>
      <c r="R21" s="25">
        <f t="shared" ref="R21:R25" si="20">N21+P21+Q21</f>
        <v>9337500</v>
      </c>
      <c r="S21" s="15">
        <f t="shared" ref="S21:S25" si="21">L21+R21</f>
        <v>9900000</v>
      </c>
    </row>
    <row r="22" spans="1:19" x14ac:dyDescent="0.25">
      <c r="A22" s="83">
        <v>100000000</v>
      </c>
      <c r="B22" s="5">
        <v>0.6</v>
      </c>
      <c r="C22" s="6">
        <f t="shared" si="0"/>
        <v>27000000</v>
      </c>
      <c r="D22" s="25">
        <f t="shared" si="1"/>
        <v>18000000</v>
      </c>
      <c r="E22" s="79">
        <f>(A22-F22)/A22</f>
        <v>0.1</v>
      </c>
      <c r="F22" s="22">
        <v>90000000</v>
      </c>
      <c r="G22" s="80">
        <f t="shared" si="14"/>
        <v>0.67500000000000004</v>
      </c>
      <c r="H22" s="6">
        <f>IF(G22&gt;1,F22*0.45,(F22*0.45*G22))</f>
        <v>27337500</v>
      </c>
      <c r="I22" s="6">
        <f>C22-H22</f>
        <v>-337500</v>
      </c>
      <c r="J22" s="81">
        <f t="shared" si="15"/>
        <v>-1.2500000000000001E-2</v>
      </c>
      <c r="K22" s="6">
        <f t="shared" si="16"/>
        <v>1620000</v>
      </c>
      <c r="L22" s="25">
        <f>+I22+K22</f>
        <v>1282500</v>
      </c>
      <c r="M22" s="28">
        <f>IF(G22&lt;1,F22*0.45*(1-G22),0)</f>
        <v>13162499.999999998</v>
      </c>
      <c r="N22" s="28">
        <f>IF(G22&lt;1,(D22-M22),D22)</f>
        <v>4837500.0000000019</v>
      </c>
      <c r="O22" s="81">
        <f t="shared" si="17"/>
        <v>0.2687500000000001</v>
      </c>
      <c r="P22" s="6">
        <f t="shared" si="18"/>
        <v>1080000</v>
      </c>
      <c r="Q22" s="6">
        <f t="shared" si="19"/>
        <v>2700000</v>
      </c>
      <c r="R22" s="25">
        <f t="shared" si="20"/>
        <v>8617500.0000000019</v>
      </c>
      <c r="S22" s="15">
        <f t="shared" si="21"/>
        <v>9900000.0000000019</v>
      </c>
    </row>
    <row r="23" spans="1:19" x14ac:dyDescent="0.25">
      <c r="A23" s="83">
        <v>100000000</v>
      </c>
      <c r="B23" s="5">
        <v>0.7</v>
      </c>
      <c r="C23" s="6">
        <f t="shared" si="0"/>
        <v>31499999.999999996</v>
      </c>
      <c r="D23" s="25">
        <f t="shared" si="1"/>
        <v>13500000.000000002</v>
      </c>
      <c r="E23" s="79">
        <f>(A23-F23)/A23</f>
        <v>0.1</v>
      </c>
      <c r="F23" s="22">
        <v>90000000</v>
      </c>
      <c r="G23" s="80">
        <f t="shared" si="14"/>
        <v>0.77499999999999991</v>
      </c>
      <c r="H23" s="6">
        <f>IF(G23&gt;1,F23*0.45,(F23*0.45*G23))</f>
        <v>31387499.999999996</v>
      </c>
      <c r="I23" s="6">
        <f>C23-H23</f>
        <v>112500</v>
      </c>
      <c r="J23" s="81">
        <f t="shared" si="15"/>
        <v>3.5714285714285718E-3</v>
      </c>
      <c r="K23" s="6">
        <f t="shared" si="16"/>
        <v>1890000</v>
      </c>
      <c r="L23" s="25">
        <f>+I23+K23</f>
        <v>2002500</v>
      </c>
      <c r="M23" s="28">
        <f>IF(G23&lt;1,F23*0.45*(1-G23),0)</f>
        <v>9112500.0000000037</v>
      </c>
      <c r="N23" s="28">
        <f>IF(G23&lt;1,(D23-M23),D23)</f>
        <v>4387499.9999999981</v>
      </c>
      <c r="O23" s="81">
        <f t="shared" si="17"/>
        <v>0.32499999999999984</v>
      </c>
      <c r="P23" s="6">
        <f t="shared" si="18"/>
        <v>810000</v>
      </c>
      <c r="Q23" s="6">
        <f t="shared" si="19"/>
        <v>2700000</v>
      </c>
      <c r="R23" s="25">
        <f t="shared" si="20"/>
        <v>7897499.9999999981</v>
      </c>
      <c r="S23" s="15">
        <f t="shared" si="21"/>
        <v>9899999.9999999981</v>
      </c>
    </row>
    <row r="24" spans="1:19" x14ac:dyDescent="0.25">
      <c r="A24" s="83">
        <v>100000000</v>
      </c>
      <c r="B24" s="5">
        <v>0.8</v>
      </c>
      <c r="C24" s="6">
        <f t="shared" si="0"/>
        <v>36000000</v>
      </c>
      <c r="D24" s="25">
        <f t="shared" si="1"/>
        <v>8999999.9999999981</v>
      </c>
      <c r="E24" s="79">
        <f>(A24-F24)/A24</f>
        <v>0.1</v>
      </c>
      <c r="F24" s="22">
        <v>90000000</v>
      </c>
      <c r="G24" s="80">
        <f t="shared" si="14"/>
        <v>0.875</v>
      </c>
      <c r="H24" s="6">
        <f>IF(G24&gt;1,F24*0.45,(F24*0.45*G24))</f>
        <v>35437500</v>
      </c>
      <c r="I24" s="6">
        <f>C24-H24</f>
        <v>562500</v>
      </c>
      <c r="J24" s="81">
        <f t="shared" si="15"/>
        <v>1.5625E-2</v>
      </c>
      <c r="K24" s="6">
        <f t="shared" si="16"/>
        <v>2160000</v>
      </c>
      <c r="L24" s="25">
        <f>+I24+K24</f>
        <v>2722500</v>
      </c>
      <c r="M24" s="28">
        <f>IF(G24&lt;1,F24*0.45*(1-G24),0)</f>
        <v>5062500</v>
      </c>
      <c r="N24" s="28">
        <f>IF(G24&lt;1,(D24-M24),D24)</f>
        <v>3937499.9999999981</v>
      </c>
      <c r="O24" s="81">
        <f t="shared" si="17"/>
        <v>0.43749999999999989</v>
      </c>
      <c r="P24" s="6">
        <f t="shared" si="18"/>
        <v>540000</v>
      </c>
      <c r="Q24" s="6">
        <f t="shared" si="19"/>
        <v>2700000</v>
      </c>
      <c r="R24" s="25">
        <f t="shared" si="20"/>
        <v>7177499.9999999981</v>
      </c>
      <c r="S24" s="15">
        <f t="shared" si="21"/>
        <v>9899999.9999999981</v>
      </c>
    </row>
    <row r="25" spans="1:19" ht="15.75" thickBot="1" x14ac:dyDescent="0.3">
      <c r="A25" s="127">
        <v>100000000</v>
      </c>
      <c r="B25" s="128">
        <v>0.9</v>
      </c>
      <c r="C25" s="129">
        <f t="shared" si="0"/>
        <v>40500000</v>
      </c>
      <c r="D25" s="130">
        <f t="shared" si="1"/>
        <v>4499999.9999999991</v>
      </c>
      <c r="E25" s="131">
        <f>(A25-F25)/A25</f>
        <v>0.1</v>
      </c>
      <c r="F25" s="135">
        <v>90000000</v>
      </c>
      <c r="G25" s="174">
        <f t="shared" si="14"/>
        <v>0.97500000000000009</v>
      </c>
      <c r="H25" s="129">
        <f>IF(G25&gt;1,F25*0.45,(F25*0.45*G25))</f>
        <v>39487500</v>
      </c>
      <c r="I25" s="129">
        <f>C25-H25</f>
        <v>1012500</v>
      </c>
      <c r="J25" s="132">
        <f t="shared" si="15"/>
        <v>2.5000000000000001E-2</v>
      </c>
      <c r="K25" s="129">
        <f t="shared" si="16"/>
        <v>2430000</v>
      </c>
      <c r="L25" s="129">
        <f>+I25+K25</f>
        <v>3442500</v>
      </c>
      <c r="M25" s="146">
        <f>IF(G25&lt;1,F25*0.45*(1-G25),0)</f>
        <v>1012499.9999999964</v>
      </c>
      <c r="N25" s="133">
        <f>IF(G25&lt;1,(D25-M25),D25)</f>
        <v>3487500.0000000028</v>
      </c>
      <c r="O25" s="132">
        <f t="shared" si="17"/>
        <v>0.7750000000000008</v>
      </c>
      <c r="P25" s="129">
        <f t="shared" si="18"/>
        <v>270000</v>
      </c>
      <c r="Q25" s="129">
        <f t="shared" si="19"/>
        <v>2700000</v>
      </c>
      <c r="R25" s="130">
        <f t="shared" si="20"/>
        <v>6457500.0000000028</v>
      </c>
      <c r="S25" s="134">
        <f t="shared" si="21"/>
        <v>9900000.0000000037</v>
      </c>
    </row>
    <row r="26" spans="1:19" x14ac:dyDescent="0.25">
      <c r="A26" s="83"/>
      <c r="B26" s="5"/>
      <c r="C26" s="6"/>
      <c r="D26" s="6"/>
      <c r="E26" s="5"/>
      <c r="F26" s="4"/>
      <c r="G26" s="175"/>
      <c r="H26" s="6"/>
      <c r="I26" s="6"/>
      <c r="J26" s="10"/>
      <c r="K26" s="6"/>
      <c r="L26" s="6"/>
      <c r="M26" s="28"/>
      <c r="N26" s="28"/>
      <c r="O26" s="10"/>
      <c r="P26" s="6"/>
      <c r="Q26" s="6"/>
      <c r="R26" s="6"/>
      <c r="S26" s="15"/>
    </row>
    <row r="27" spans="1:19" ht="15.75" thickBot="1" x14ac:dyDescent="0.3">
      <c r="A27" s="119"/>
      <c r="B27" s="120"/>
      <c r="C27" s="120"/>
      <c r="D27" s="121"/>
      <c r="E27" s="122"/>
      <c r="F27" s="121"/>
      <c r="G27" s="121"/>
      <c r="H27" s="123"/>
      <c r="I27" s="121"/>
      <c r="J27" s="123"/>
      <c r="K27" s="124"/>
      <c r="L27" s="121"/>
      <c r="M27" s="124"/>
      <c r="N27" s="125"/>
      <c r="O27" s="123"/>
      <c r="P27" s="124"/>
      <c r="Q27" s="124"/>
      <c r="R27" s="121"/>
      <c r="S27" s="126"/>
    </row>
    <row r="28" spans="1:19" ht="19.5" customHeight="1" x14ac:dyDescent="0.25">
      <c r="A28" s="109" t="s">
        <v>72</v>
      </c>
      <c r="B28" s="110"/>
      <c r="C28" s="111"/>
      <c r="D28" s="112"/>
      <c r="E28" s="112"/>
      <c r="F28" s="113"/>
      <c r="G28" s="114"/>
      <c r="H28" s="111"/>
      <c r="I28" s="115"/>
      <c r="J28" s="116"/>
      <c r="K28" s="111" t="s">
        <v>57</v>
      </c>
      <c r="L28" s="115"/>
      <c r="M28" s="117"/>
      <c r="N28" s="118"/>
      <c r="O28" s="111"/>
      <c r="P28" s="111"/>
      <c r="Q28" s="115"/>
      <c r="R28" s="13"/>
      <c r="S28" s="116"/>
    </row>
    <row r="29" spans="1:19" ht="18" customHeight="1" thickBot="1" x14ac:dyDescent="0.3">
      <c r="A29" s="76">
        <v>56000000</v>
      </c>
      <c r="B29" s="9">
        <v>0.65</v>
      </c>
      <c r="C29" s="73">
        <f>+B29*(A29*0.45)</f>
        <v>16380000</v>
      </c>
      <c r="D29" s="155">
        <f>(1-B29)*(A29*0.45)</f>
        <v>8820000</v>
      </c>
      <c r="E29" s="153">
        <v>0.01</v>
      </c>
      <c r="F29" s="150">
        <v>55440000</v>
      </c>
      <c r="G29" s="8">
        <f>+B29+(E29*0.75)</f>
        <v>0.65749999999999997</v>
      </c>
      <c r="H29" s="73">
        <f>(+F29*0.45)*G29</f>
        <v>16403310</v>
      </c>
      <c r="I29" s="6">
        <f>+C29-H29</f>
        <v>-23310</v>
      </c>
      <c r="J29" s="20">
        <f>I29/A29</f>
        <v>-4.1625000000000001E-4</v>
      </c>
      <c r="K29" s="129">
        <f t="shared" ref="K29:K31" si="22">(0.02*(0.45*A29)*30*B29)-(0.02*(0.45*F29)*30*B29)</f>
        <v>98280</v>
      </c>
      <c r="L29" s="147">
        <f>+I29+K29</f>
        <v>74970</v>
      </c>
      <c r="M29" s="28">
        <f>+IF(G29&gt;1,0,(1-G29)*(F29*0.45))</f>
        <v>8544690</v>
      </c>
      <c r="N29" s="28">
        <f>IF(G29&lt;1,(D29-M29), (D29+(M29*-1)))</f>
        <v>275310</v>
      </c>
      <c r="O29" s="138">
        <f t="shared" ref="O29:O31" si="23">N29/D29</f>
        <v>3.1214285714285715E-2</v>
      </c>
      <c r="P29" s="137">
        <f t="shared" ref="P29:P31" si="24">(0.02*(0.45*A29)*30*(1-B29))-(0.02*(0.45*F29)*30*(1-B29))</f>
        <v>52920</v>
      </c>
      <c r="Q29" s="137">
        <f t="shared" ref="Q29:Q31" si="25">(0.02*(0.45*A29)*30)-(0.02*(0.45*F29)*30)</f>
        <v>151200</v>
      </c>
      <c r="R29" s="139">
        <f t="shared" ref="R29:R31" si="26">N29+P29+Q29</f>
        <v>479430</v>
      </c>
      <c r="S29" s="140">
        <f t="shared" ref="S29:S31" si="27">L29+R29</f>
        <v>554400</v>
      </c>
    </row>
    <row r="30" spans="1:19" ht="18" customHeight="1" thickBot="1" x14ac:dyDescent="0.3">
      <c r="A30" s="76">
        <v>56000000</v>
      </c>
      <c r="B30" s="9">
        <v>0.65</v>
      </c>
      <c r="C30" s="73">
        <f>+B30*(A30*0.45)</f>
        <v>16380000</v>
      </c>
      <c r="D30" s="156">
        <f>(1-B30)*(A30*0.45)</f>
        <v>8820000</v>
      </c>
      <c r="E30" s="153">
        <v>0.1</v>
      </c>
      <c r="F30" s="151">
        <v>50400000</v>
      </c>
      <c r="G30" s="8">
        <f>+B30+(E30*0.75)</f>
        <v>0.72500000000000009</v>
      </c>
      <c r="H30" s="73">
        <f>(+F30*0.45)*G30</f>
        <v>16443000.000000002</v>
      </c>
      <c r="I30" s="4">
        <f>+C30-H30</f>
        <v>-63000.000000001863</v>
      </c>
      <c r="J30" s="21">
        <f>I30/A30</f>
        <v>-1.1250000000000333E-3</v>
      </c>
      <c r="K30" s="129">
        <f t="shared" si="22"/>
        <v>982800</v>
      </c>
      <c r="L30" s="148">
        <f>+I30+K30</f>
        <v>919799.99999999814</v>
      </c>
      <c r="M30" s="28">
        <f>+IF(G30&gt;1,0,(1-G30)*(F30*0.45))</f>
        <v>6236999.9999999981</v>
      </c>
      <c r="N30" s="28">
        <f>IF(G30&lt;1,(D30-M30), (D30+(M30*-1)))</f>
        <v>2583000.0000000019</v>
      </c>
      <c r="O30" s="20">
        <f t="shared" si="23"/>
        <v>0.29285714285714309</v>
      </c>
      <c r="P30" s="78">
        <f t="shared" si="24"/>
        <v>529200</v>
      </c>
      <c r="Q30" s="78">
        <f t="shared" si="25"/>
        <v>1512000</v>
      </c>
      <c r="R30" s="141">
        <f t="shared" si="26"/>
        <v>4624200.0000000019</v>
      </c>
      <c r="S30" s="142">
        <f t="shared" si="27"/>
        <v>5544000</v>
      </c>
    </row>
    <row r="31" spans="1:19" ht="15.75" thickBot="1" x14ac:dyDescent="0.3">
      <c r="A31" s="76">
        <v>56000000</v>
      </c>
      <c r="B31" s="12">
        <v>0.77</v>
      </c>
      <c r="C31" s="74">
        <f>+B31*(A31*0.45)</f>
        <v>19404000</v>
      </c>
      <c r="D31" s="157">
        <f>(1-B31)*(A31*0.45)</f>
        <v>5796000</v>
      </c>
      <c r="E31" s="154">
        <v>0.1</v>
      </c>
      <c r="F31" s="152">
        <v>50400000</v>
      </c>
      <c r="G31" s="14">
        <f>+B31+(E31*0.75)</f>
        <v>0.84499999999999997</v>
      </c>
      <c r="H31" s="74">
        <f>(+F31*0.45)*G31</f>
        <v>19164600</v>
      </c>
      <c r="I31" s="11">
        <f>+C31-H31</f>
        <v>239400</v>
      </c>
      <c r="J31" s="29">
        <f>I31/A31</f>
        <v>4.2750000000000002E-3</v>
      </c>
      <c r="K31" s="129">
        <f t="shared" si="22"/>
        <v>1164240</v>
      </c>
      <c r="L31" s="149">
        <f>+I31+K31</f>
        <v>1403640</v>
      </c>
      <c r="M31" s="30">
        <f>+IF(G31&gt;1,0,(1-G31)*(F31*0.45))</f>
        <v>3515400.0000000005</v>
      </c>
      <c r="N31" s="30">
        <f>IF(G31&lt;1,(D31-M31), (D31+(M31*-1)))</f>
        <v>2280599.9999999995</v>
      </c>
      <c r="O31" s="82">
        <f t="shared" si="23"/>
        <v>0.39347826086956511</v>
      </c>
      <c r="P31" s="45">
        <f t="shared" si="24"/>
        <v>347760</v>
      </c>
      <c r="Q31" s="45">
        <f t="shared" si="25"/>
        <v>1512000</v>
      </c>
      <c r="R31" s="143">
        <f t="shared" si="26"/>
        <v>4140359.9999999995</v>
      </c>
      <c r="S31" s="144">
        <f t="shared" si="27"/>
        <v>5544000</v>
      </c>
    </row>
    <row r="32" spans="1:19" ht="10.5" customHeight="1" x14ac:dyDescent="0.25">
      <c r="A32" s="34"/>
      <c r="B32" s="2"/>
      <c r="C32" s="2"/>
      <c r="D32" s="17"/>
      <c r="E32" s="61"/>
      <c r="F32" s="2"/>
      <c r="G32" s="2"/>
      <c r="H32" s="2"/>
      <c r="I32" s="2"/>
      <c r="J32" s="2"/>
      <c r="K32" s="17"/>
      <c r="L32" s="2"/>
      <c r="M32" s="17"/>
      <c r="N32" s="17"/>
      <c r="O32" s="2"/>
      <c r="P32" s="17"/>
      <c r="Q32" s="2"/>
      <c r="R32" s="2"/>
      <c r="S32" s="18"/>
    </row>
    <row r="33" spans="1:19" ht="12.75" customHeight="1" thickBot="1" x14ac:dyDescent="0.3">
      <c r="A33" s="210" t="s">
        <v>56</v>
      </c>
      <c r="B33" s="210"/>
      <c r="C33" s="211">
        <v>56000000000</v>
      </c>
      <c r="D33" s="211"/>
      <c r="E33" s="62" t="s">
        <v>58</v>
      </c>
      <c r="F33" s="59"/>
      <c r="G33" s="38"/>
      <c r="H33" s="39"/>
      <c r="I33" s="60"/>
      <c r="J33" s="60"/>
      <c r="K33" s="36"/>
      <c r="L33" s="36"/>
      <c r="M33" s="60"/>
      <c r="N33" s="60"/>
      <c r="O33" s="60"/>
      <c r="P33" s="36"/>
      <c r="Q33" s="36"/>
      <c r="R33" s="36"/>
      <c r="S33" s="37"/>
    </row>
    <row r="34" spans="1:19" s="1" customFormat="1" ht="12.75" customHeight="1" x14ac:dyDescent="0.25">
      <c r="A34" s="75"/>
      <c r="B34" s="40"/>
      <c r="C34" s="40"/>
      <c r="D34" s="40"/>
      <c r="E34" s="145"/>
      <c r="F34" s="40"/>
      <c r="G34" s="41"/>
      <c r="H34" s="41"/>
      <c r="I34" s="41"/>
      <c r="J34" s="41"/>
      <c r="K34" s="42"/>
      <c r="L34" s="42"/>
      <c r="M34" s="41"/>
      <c r="N34" s="40"/>
      <c r="O34" s="41"/>
      <c r="P34" s="42"/>
      <c r="Q34" s="42"/>
      <c r="R34" s="42"/>
      <c r="S34" s="171"/>
    </row>
    <row r="35" spans="1:19" ht="11.25" customHeight="1" thickBot="1" x14ac:dyDescent="0.3">
      <c r="A35" s="173"/>
      <c r="B35" s="36"/>
      <c r="C35" s="36"/>
      <c r="D35" s="36"/>
      <c r="E35" s="63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7"/>
    </row>
    <row r="36" spans="1:19" ht="15.75" x14ac:dyDescent="0.25">
      <c r="A36" s="109" t="s">
        <v>73</v>
      </c>
      <c r="B36" s="13"/>
      <c r="C36" s="13"/>
      <c r="D36" s="13"/>
      <c r="F36" s="13"/>
      <c r="G36" s="13"/>
      <c r="H36" s="13"/>
      <c r="I36" s="13"/>
      <c r="J36" s="2"/>
      <c r="K36" s="2"/>
      <c r="L36" s="34"/>
      <c r="S36" s="3"/>
    </row>
    <row r="37" spans="1:19" ht="45" customHeight="1" x14ac:dyDescent="0.25">
      <c r="A37" s="43" t="s">
        <v>60</v>
      </c>
      <c r="B37" s="160" t="s">
        <v>66</v>
      </c>
      <c r="C37" s="212" t="s">
        <v>65</v>
      </c>
      <c r="D37" s="213"/>
      <c r="E37" s="160" t="s">
        <v>64</v>
      </c>
      <c r="F37" s="43" t="s">
        <v>62</v>
      </c>
      <c r="G37" s="214" t="s">
        <v>67</v>
      </c>
      <c r="H37" s="215"/>
      <c r="I37" s="176"/>
      <c r="J37" s="216"/>
      <c r="K37" s="217"/>
      <c r="L37" s="2"/>
      <c r="N37" s="2"/>
      <c r="O37" s="2"/>
      <c r="S37" s="3"/>
    </row>
    <row r="38" spans="1:19" ht="15" customHeight="1" x14ac:dyDescent="0.25">
      <c r="A38" s="163">
        <v>0.65</v>
      </c>
      <c r="B38" s="77">
        <v>0.01</v>
      </c>
      <c r="C38" s="218">
        <f>+S29*1000</f>
        <v>554400000</v>
      </c>
      <c r="D38" s="219"/>
      <c r="E38" s="158">
        <v>0.04</v>
      </c>
      <c r="F38" s="161">
        <v>30</v>
      </c>
      <c r="G38" s="220">
        <f>+C38*((1+E38)^F38)</f>
        <v>1798139579.5592694</v>
      </c>
      <c r="H38" s="218"/>
      <c r="I38" s="183"/>
      <c r="J38" s="221"/>
      <c r="K38" s="222"/>
      <c r="L38" s="2"/>
      <c r="S38" s="3"/>
    </row>
    <row r="39" spans="1:19" ht="15" customHeight="1" x14ac:dyDescent="0.25">
      <c r="A39" s="164">
        <v>0.65</v>
      </c>
      <c r="B39" s="153">
        <v>0.1</v>
      </c>
      <c r="C39" s="223">
        <f t="shared" ref="C39:C40" si="28">+S30*1000</f>
        <v>5544000000</v>
      </c>
      <c r="D39" s="224"/>
      <c r="E39" s="159">
        <v>0.04</v>
      </c>
      <c r="F39" s="162">
        <v>30</v>
      </c>
      <c r="G39" s="225">
        <f t="shared" ref="G39:G40" si="29">+C39*((1+E39)^F39)</f>
        <v>17981395795.592693</v>
      </c>
      <c r="H39" s="223"/>
      <c r="I39" s="181"/>
      <c r="J39" s="226"/>
      <c r="K39" s="227"/>
      <c r="L39" s="2"/>
      <c r="S39" s="3"/>
    </row>
    <row r="40" spans="1:19" ht="15.75" thickBot="1" x14ac:dyDescent="0.3">
      <c r="A40" s="169">
        <v>0.77</v>
      </c>
      <c r="B40" s="170">
        <v>0.1</v>
      </c>
      <c r="C40" s="187">
        <f t="shared" si="28"/>
        <v>5544000000</v>
      </c>
      <c r="D40" s="188"/>
      <c r="E40" s="167">
        <v>0.04</v>
      </c>
      <c r="F40" s="168">
        <v>30</v>
      </c>
      <c r="G40" s="187">
        <f t="shared" si="29"/>
        <v>17981395795.592693</v>
      </c>
      <c r="H40" s="189"/>
      <c r="I40" s="182"/>
      <c r="J40" s="190"/>
      <c r="K40" s="191"/>
      <c r="L40" s="165"/>
      <c r="M40" s="166"/>
      <c r="N40" s="166"/>
      <c r="O40" s="166"/>
      <c r="P40" s="166"/>
      <c r="Q40" s="166"/>
      <c r="R40" s="166"/>
      <c r="S40" s="172"/>
    </row>
    <row r="41" spans="1:19" ht="15.75" thickTop="1" x14ac:dyDescent="0.25"/>
    <row r="45" spans="1:19" x14ac:dyDescent="0.25">
      <c r="C45" s="2"/>
    </row>
  </sheetData>
  <mergeCells count="22">
    <mergeCell ref="C38:D38"/>
    <mergeCell ref="G38:H38"/>
    <mergeCell ref="J38:K38"/>
    <mergeCell ref="C39:D39"/>
    <mergeCell ref="G39:H39"/>
    <mergeCell ref="J39:K39"/>
    <mergeCell ref="C40:D40"/>
    <mergeCell ref="G40:H40"/>
    <mergeCell ref="J40:K40"/>
    <mergeCell ref="B1:S1"/>
    <mergeCell ref="A2:S2"/>
    <mergeCell ref="A4:D4"/>
    <mergeCell ref="E4:R4"/>
    <mergeCell ref="A6:D6"/>
    <mergeCell ref="E6:F6"/>
    <mergeCell ref="G6:L6"/>
    <mergeCell ref="M6:R6"/>
    <mergeCell ref="A33:B33"/>
    <mergeCell ref="C33:D33"/>
    <mergeCell ref="C37:D37"/>
    <mergeCell ref="G37:H37"/>
    <mergeCell ref="J37:K37"/>
  </mergeCells>
  <pageMargins left="0.25" right="0.25" top="0.75" bottom="0.75" header="0.3" footer="0.3"/>
  <pageSetup paperSize="17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workbookViewId="0">
      <selection activeCell="B1" sqref="B1:S1"/>
    </sheetView>
  </sheetViews>
  <sheetFormatPr defaultRowHeight="15" x14ac:dyDescent="0.25"/>
  <cols>
    <col min="1" max="1" width="14" customWidth="1"/>
    <col min="2" max="2" width="10" customWidth="1"/>
    <col min="3" max="3" width="14.42578125" customWidth="1"/>
    <col min="4" max="4" width="13.5703125" customWidth="1"/>
    <col min="5" max="5" width="11.5703125" style="16" customWidth="1"/>
    <col min="6" max="6" width="14" customWidth="1"/>
    <col min="7" max="7" width="10.7109375" customWidth="1"/>
    <col min="8" max="9" width="14" customWidth="1"/>
    <col min="10" max="10" width="12.28515625" customWidth="1"/>
    <col min="11" max="11" width="16.7109375" customWidth="1"/>
    <col min="12" max="12" width="15.28515625" customWidth="1"/>
    <col min="13" max="13" width="17.140625" customWidth="1"/>
    <col min="14" max="14" width="16" customWidth="1"/>
    <col min="15" max="15" width="12.140625" customWidth="1"/>
    <col min="16" max="16" width="15.140625" customWidth="1"/>
    <col min="17" max="17" width="14.7109375" customWidth="1"/>
    <col min="18" max="18" width="13.28515625" customWidth="1"/>
    <col min="19" max="19" width="15.5703125" customWidth="1"/>
    <col min="20" max="20" width="12.5703125" customWidth="1"/>
    <col min="21" max="21" width="12" bestFit="1" customWidth="1"/>
    <col min="22" max="22" width="15.28515625" bestFit="1" customWidth="1"/>
  </cols>
  <sheetData>
    <row r="1" spans="1:27" ht="45.75" customHeight="1" thickBot="1" x14ac:dyDescent="0.3">
      <c r="A1" s="186" t="s">
        <v>81</v>
      </c>
      <c r="B1" s="228" t="s">
        <v>87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30"/>
    </row>
    <row r="2" spans="1:27" ht="31.5" customHeight="1" thickTop="1" thickBot="1" x14ac:dyDescent="0.3">
      <c r="A2" s="195" t="s">
        <v>61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2"/>
    </row>
    <row r="3" spans="1:27" ht="22.5" hidden="1" customHeight="1" thickTop="1" thickBot="1" x14ac:dyDescent="0.3">
      <c r="A3" s="31" t="s">
        <v>1</v>
      </c>
      <c r="B3" s="32" t="s">
        <v>3</v>
      </c>
      <c r="C3" s="31" t="s">
        <v>5</v>
      </c>
      <c r="D3" s="33" t="s">
        <v>4</v>
      </c>
      <c r="E3" s="50" t="s">
        <v>0</v>
      </c>
      <c r="F3" s="32" t="s">
        <v>2</v>
      </c>
      <c r="G3" s="32" t="s">
        <v>6</v>
      </c>
      <c r="H3" s="32" t="s">
        <v>7</v>
      </c>
      <c r="I3" s="31" t="s">
        <v>8</v>
      </c>
      <c r="J3" s="31" t="s">
        <v>9</v>
      </c>
      <c r="K3" s="33" t="s">
        <v>12</v>
      </c>
      <c r="L3" s="33" t="s">
        <v>13</v>
      </c>
      <c r="M3" s="32" t="s">
        <v>10</v>
      </c>
      <c r="N3" s="32" t="s">
        <v>11</v>
      </c>
      <c r="O3" s="31" t="s">
        <v>9</v>
      </c>
      <c r="P3" s="33" t="s">
        <v>12</v>
      </c>
      <c r="Q3" s="33"/>
      <c r="R3" s="33" t="s">
        <v>13</v>
      </c>
      <c r="S3" s="33" t="s">
        <v>13</v>
      </c>
      <c r="T3" s="34"/>
    </row>
    <row r="4" spans="1:27" ht="22.5" customHeight="1" thickTop="1" x14ac:dyDescent="0.35">
      <c r="A4" s="198" t="s">
        <v>14</v>
      </c>
      <c r="B4" s="199"/>
      <c r="C4" s="199"/>
      <c r="D4" s="200"/>
      <c r="E4" s="201" t="s">
        <v>28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2"/>
      <c r="S4" s="177"/>
      <c r="T4" s="2"/>
    </row>
    <row r="5" spans="1:27" ht="18" customHeight="1" x14ac:dyDescent="0.3">
      <c r="A5" s="69" t="s">
        <v>0</v>
      </c>
      <c r="B5" s="70" t="s">
        <v>1</v>
      </c>
      <c r="C5" s="70" t="s">
        <v>2</v>
      </c>
      <c r="D5" s="94" t="s">
        <v>3</v>
      </c>
      <c r="E5" s="71" t="s">
        <v>4</v>
      </c>
      <c r="F5" s="71" t="s">
        <v>5</v>
      </c>
      <c r="G5" s="71" t="s">
        <v>6</v>
      </c>
      <c r="H5" s="71" t="s">
        <v>7</v>
      </c>
      <c r="I5" s="71" t="s">
        <v>8</v>
      </c>
      <c r="J5" s="71" t="s">
        <v>9</v>
      </c>
      <c r="K5" s="71" t="s">
        <v>10</v>
      </c>
      <c r="L5" s="71" t="s">
        <v>11</v>
      </c>
      <c r="M5" s="71" t="s">
        <v>12</v>
      </c>
      <c r="N5" s="71" t="s">
        <v>13</v>
      </c>
      <c r="O5" s="71" t="s">
        <v>51</v>
      </c>
      <c r="P5" s="71" t="s">
        <v>52</v>
      </c>
      <c r="Q5" s="71" t="s">
        <v>53</v>
      </c>
      <c r="R5" s="72" t="s">
        <v>54</v>
      </c>
      <c r="S5" s="178" t="s">
        <v>55</v>
      </c>
      <c r="T5" s="2"/>
    </row>
    <row r="6" spans="1:27" s="44" customFormat="1" ht="25.5" customHeight="1" x14ac:dyDescent="0.35">
      <c r="A6" s="203" t="s">
        <v>50</v>
      </c>
      <c r="B6" s="204"/>
      <c r="C6" s="204"/>
      <c r="D6" s="205"/>
      <c r="E6" s="204"/>
      <c r="F6" s="205"/>
      <c r="G6" s="206" t="s">
        <v>17</v>
      </c>
      <c r="H6" s="206"/>
      <c r="I6" s="206"/>
      <c r="J6" s="206"/>
      <c r="K6" s="206"/>
      <c r="L6" s="207"/>
      <c r="M6" s="208" t="s">
        <v>18</v>
      </c>
      <c r="N6" s="208"/>
      <c r="O6" s="208"/>
      <c r="P6" s="208"/>
      <c r="Q6" s="208"/>
      <c r="R6" s="209"/>
      <c r="S6" s="179" t="s">
        <v>49</v>
      </c>
    </row>
    <row r="7" spans="1:27" s="27" customFormat="1" ht="40.5" customHeight="1" thickBot="1" x14ac:dyDescent="0.25">
      <c r="A7" s="46"/>
      <c r="B7" s="51"/>
      <c r="C7" s="51" t="s">
        <v>26</v>
      </c>
      <c r="D7" s="93" t="s">
        <v>27</v>
      </c>
      <c r="E7" s="92"/>
      <c r="F7" s="96"/>
      <c r="G7" s="95" t="s">
        <v>34</v>
      </c>
      <c r="H7" s="54" t="s">
        <v>84</v>
      </c>
      <c r="I7" s="53" t="s">
        <v>29</v>
      </c>
      <c r="J7" s="53" t="s">
        <v>30</v>
      </c>
      <c r="K7" s="54" t="s">
        <v>76</v>
      </c>
      <c r="L7" s="99" t="s">
        <v>31</v>
      </c>
      <c r="M7" s="98" t="s">
        <v>35</v>
      </c>
      <c r="N7" s="55" t="s">
        <v>39</v>
      </c>
      <c r="O7" s="49" t="s">
        <v>44</v>
      </c>
      <c r="P7" s="55" t="s">
        <v>77</v>
      </c>
      <c r="Q7" s="55" t="s">
        <v>80</v>
      </c>
      <c r="R7" s="102" t="s">
        <v>46</v>
      </c>
      <c r="S7" s="52" t="s">
        <v>48</v>
      </c>
    </row>
    <row r="8" spans="1:27" ht="93" customHeight="1" thickBot="1" x14ac:dyDescent="0.3">
      <c r="A8" s="103" t="s">
        <v>21</v>
      </c>
      <c r="B8" s="47" t="s">
        <v>32</v>
      </c>
      <c r="C8" s="48" t="s">
        <v>23</v>
      </c>
      <c r="D8" s="57" t="s">
        <v>22</v>
      </c>
      <c r="E8" s="104" t="s">
        <v>25</v>
      </c>
      <c r="F8" s="105" t="s">
        <v>24</v>
      </c>
      <c r="G8" s="106" t="s">
        <v>33</v>
      </c>
      <c r="H8" s="48" t="s">
        <v>20</v>
      </c>
      <c r="I8" s="48" t="s">
        <v>15</v>
      </c>
      <c r="J8" s="48" t="s">
        <v>16</v>
      </c>
      <c r="K8" s="48" t="s">
        <v>41</v>
      </c>
      <c r="L8" s="107" t="s">
        <v>42</v>
      </c>
      <c r="M8" s="108" t="s">
        <v>36</v>
      </c>
      <c r="N8" s="56" t="s">
        <v>37</v>
      </c>
      <c r="O8" s="56" t="s">
        <v>38</v>
      </c>
      <c r="P8" s="56" t="s">
        <v>40</v>
      </c>
      <c r="Q8" s="56" t="s">
        <v>43</v>
      </c>
      <c r="R8" s="57" t="s">
        <v>45</v>
      </c>
      <c r="S8" s="105" t="s">
        <v>47</v>
      </c>
      <c r="U8" s="35"/>
      <c r="V8" s="35"/>
      <c r="W8" s="35"/>
      <c r="X8" s="35"/>
      <c r="Y8" s="27"/>
      <c r="Z8" s="27"/>
      <c r="AA8" s="27"/>
    </row>
    <row r="9" spans="1:27" x14ac:dyDescent="0.25">
      <c r="A9" s="83">
        <v>100000000</v>
      </c>
      <c r="B9" s="5">
        <v>0.5</v>
      </c>
      <c r="C9" s="6">
        <f>(A9*0.45)*(B9)</f>
        <v>22500000</v>
      </c>
      <c r="D9" s="25">
        <f>(A9*0.45)*(1-B9)</f>
        <v>22500000</v>
      </c>
      <c r="E9" s="79">
        <f>(A9-F9)/A9</f>
        <v>0.01</v>
      </c>
      <c r="F9" s="22">
        <v>99000000</v>
      </c>
      <c r="G9" s="80">
        <f>IF(+B9&gt;=0.89,+B9+E9,+B9+(E9*0.75))</f>
        <v>0.50749999999999995</v>
      </c>
      <c r="H9" s="6">
        <f>IF(G9&gt;1,F9*0.45,(F9*0.45*G9))</f>
        <v>22609124.999999996</v>
      </c>
      <c r="I9" s="6">
        <f>C9-H9</f>
        <v>-109124.99999999627</v>
      </c>
      <c r="J9" s="81">
        <f>I9/C9</f>
        <v>-4.8499999999998345E-3</v>
      </c>
      <c r="K9" s="6">
        <f>(0.02*(0.45*A9)*30*B9)-(0.02*(0.45*F9)*30*B9)</f>
        <v>135000</v>
      </c>
      <c r="L9" s="25">
        <f>+I9+K9</f>
        <v>25875.000000003725</v>
      </c>
      <c r="M9" s="28">
        <f>IF(G9&lt;1,F9*0.45*(1-G9),0)</f>
        <v>21940875.000000004</v>
      </c>
      <c r="N9" s="28">
        <f>IF(G9&lt;1,(D9-M9),D9)</f>
        <v>559124.99999999627</v>
      </c>
      <c r="O9" s="81">
        <f>N9/D9</f>
        <v>2.4849999999999834E-2</v>
      </c>
      <c r="P9" s="6">
        <f>(0.02*(0.45*A9)*30*(1-B9))-(0.02*(0.45*F9)*30*(1-B9))</f>
        <v>135000</v>
      </c>
      <c r="Q9" s="6">
        <f>(0.02*(0.45*A9)*30)-(0.02*(0.45*F9)*30)</f>
        <v>270000</v>
      </c>
      <c r="R9" s="25">
        <f>N9+P9+Q9</f>
        <v>964124.99999999627</v>
      </c>
      <c r="S9" s="15">
        <f>L9+R9</f>
        <v>990000</v>
      </c>
      <c r="T9" s="58"/>
      <c r="Y9" s="27"/>
      <c r="Z9" s="27"/>
      <c r="AA9" s="27"/>
    </row>
    <row r="10" spans="1:27" x14ac:dyDescent="0.25">
      <c r="A10" s="34"/>
      <c r="B10" s="7"/>
      <c r="C10" s="6">
        <f t="shared" ref="C10:C25" si="0">(A10*0.45)*(B10)</f>
        <v>0</v>
      </c>
      <c r="D10" s="25">
        <f t="shared" ref="D10:D25" si="1">(A10*0.45)*(1-B10)</f>
        <v>0</v>
      </c>
      <c r="E10" s="84"/>
      <c r="F10" s="23"/>
      <c r="G10" s="26"/>
      <c r="H10" s="2"/>
      <c r="I10" s="2"/>
      <c r="J10" s="8"/>
      <c r="K10" s="6"/>
      <c r="L10" s="23"/>
      <c r="M10" s="28"/>
      <c r="N10" s="28"/>
      <c r="O10" s="8"/>
      <c r="P10" s="2"/>
      <c r="Q10" s="2"/>
      <c r="R10" s="23"/>
      <c r="S10" s="3"/>
      <c r="T10" s="58"/>
      <c r="Y10" s="27"/>
      <c r="Z10" s="27"/>
      <c r="AA10" s="27"/>
    </row>
    <row r="11" spans="1:27" x14ac:dyDescent="0.25">
      <c r="A11" s="83">
        <v>100000000</v>
      </c>
      <c r="B11" s="5">
        <v>0.96</v>
      </c>
      <c r="C11" s="6">
        <f t="shared" si="0"/>
        <v>43200000</v>
      </c>
      <c r="D11" s="25">
        <f t="shared" si="1"/>
        <v>1800000.0000000016</v>
      </c>
      <c r="E11" s="79">
        <f>(A11-F11)/A11</f>
        <v>0.01</v>
      </c>
      <c r="F11" s="22">
        <v>99000000</v>
      </c>
      <c r="G11" s="80">
        <f>IF(+B11&gt;=0.89,+B11+E11,+B11+(E11*0.75))</f>
        <v>0.97</v>
      </c>
      <c r="H11" s="6">
        <f>IF(G11&gt;1,F11*0.45,(F11*0.45*G11))</f>
        <v>43213500</v>
      </c>
      <c r="I11" s="6">
        <f>C11-H11</f>
        <v>-13500</v>
      </c>
      <c r="J11" s="81">
        <f>I11/C11</f>
        <v>-3.1250000000000001E-4</v>
      </c>
      <c r="K11" s="6">
        <f>(0.02*(0.45*A11)*30*B11)-(0.02*(0.45*F11)*30*B11)</f>
        <v>259200</v>
      </c>
      <c r="L11" s="25">
        <f>+I11+K11</f>
        <v>245700</v>
      </c>
      <c r="M11" s="28">
        <f>IF(G11&lt;1,F11*0.45*(1-G11),0)</f>
        <v>1336500.0000000012</v>
      </c>
      <c r="N11" s="28">
        <f>IF(G11&lt;1,(D11-M11),D11)</f>
        <v>463500.00000000047</v>
      </c>
      <c r="O11" s="81">
        <f>N11/D11</f>
        <v>0.25750000000000001</v>
      </c>
      <c r="P11" s="6">
        <f>(0.02*(0.45*A11)*30*(1-B11))-(0.02*(0.45*F11)*30*(1-B11))</f>
        <v>10800</v>
      </c>
      <c r="Q11" s="6">
        <f>(0.02*(0.45*A11)*30)-(0.02*(0.45*F11)*30)</f>
        <v>270000</v>
      </c>
      <c r="R11" s="25">
        <f>N11+P11+Q11</f>
        <v>744300.00000000047</v>
      </c>
      <c r="S11" s="15">
        <f>L11+R11</f>
        <v>990000.00000000047</v>
      </c>
      <c r="T11" s="58"/>
    </row>
    <row r="12" spans="1:27" x14ac:dyDescent="0.25">
      <c r="A12" s="34"/>
      <c r="B12" s="7"/>
      <c r="C12" s="6"/>
      <c r="D12" s="25"/>
      <c r="E12" s="84"/>
      <c r="F12" s="23"/>
      <c r="G12" s="26"/>
      <c r="H12" s="2"/>
      <c r="I12" s="2"/>
      <c r="J12" s="8"/>
      <c r="K12" s="2"/>
      <c r="L12" s="23"/>
      <c r="M12" s="28"/>
      <c r="N12" s="28"/>
      <c r="O12" s="8"/>
      <c r="P12" s="2"/>
      <c r="Q12" s="2"/>
      <c r="R12" s="23"/>
      <c r="S12" s="3"/>
      <c r="T12" s="58"/>
    </row>
    <row r="13" spans="1:27" s="1" customFormat="1" x14ac:dyDescent="0.25">
      <c r="A13" s="90">
        <v>100000000</v>
      </c>
      <c r="B13" s="5">
        <v>0.45452999999999999</v>
      </c>
      <c r="C13" s="6">
        <f t="shared" si="0"/>
        <v>20453850</v>
      </c>
      <c r="D13" s="25">
        <f t="shared" si="1"/>
        <v>24546150</v>
      </c>
      <c r="E13" s="79">
        <f>(A13-F13)/A13</f>
        <v>0.1</v>
      </c>
      <c r="F13" s="24">
        <v>90000000</v>
      </c>
      <c r="G13" s="80">
        <f t="shared" ref="G13:G15" si="2">IF(+B13&gt;=0.89,+B13+E13,+B13+(E13*0.75))</f>
        <v>0.52953000000000006</v>
      </c>
      <c r="H13" s="6">
        <f>IF(G13&gt;1,F13*0.45,(F13*0.45*G13))</f>
        <v>21445965.000000004</v>
      </c>
      <c r="I13" s="6">
        <f>C13-H13</f>
        <v>-992115.00000000373</v>
      </c>
      <c r="J13" s="81">
        <f t="shared" ref="J13:J15" si="3">I13/C13</f>
        <v>-4.8505049171672018E-2</v>
      </c>
      <c r="K13" s="6">
        <f>(0.02*(0.45*A13)*30*B13)-(0.02*(0.45*F13)*30*B13)</f>
        <v>1227231</v>
      </c>
      <c r="L13" s="25">
        <f>+I13+K13</f>
        <v>235115.99999999627</v>
      </c>
      <c r="M13" s="28">
        <f>IF(G13&lt;1,F13*0.45*(1-G13),0)</f>
        <v>19054034.999999996</v>
      </c>
      <c r="N13" s="28">
        <f>IF(G13&lt;1,(D13-M13),D13)</f>
        <v>5492115.0000000037</v>
      </c>
      <c r="O13" s="81">
        <f t="shared" ref="O13:O15" si="4">N13/D13</f>
        <v>0.22374649384934109</v>
      </c>
      <c r="P13" s="6">
        <f t="shared" ref="P13:P15" si="5">(0.02*(0.45*A13)*30*(1-B13))-(0.02*(0.45*F13)*30*(1-B13))</f>
        <v>1472769</v>
      </c>
      <c r="Q13" s="6">
        <f t="shared" ref="Q13:Q15" si="6">(0.02*(0.45*A13)*30)-(0.02*(0.45*F13)*30)</f>
        <v>2700000</v>
      </c>
      <c r="R13" s="25">
        <f t="shared" ref="R13:R15" si="7">N13+P13+Q13</f>
        <v>9664884.0000000037</v>
      </c>
      <c r="S13" s="15">
        <f t="shared" ref="S13:S15" si="8">L13+R13</f>
        <v>9900000</v>
      </c>
      <c r="T13" s="58"/>
    </row>
    <row r="14" spans="1:27" x14ac:dyDescent="0.25">
      <c r="A14" s="90">
        <v>100000000</v>
      </c>
      <c r="B14" s="5">
        <v>0.5</v>
      </c>
      <c r="C14" s="6">
        <f t="shared" si="0"/>
        <v>22500000</v>
      </c>
      <c r="D14" s="25">
        <f t="shared" si="1"/>
        <v>22500000</v>
      </c>
      <c r="E14" s="79">
        <f>(A14-F14)/A14</f>
        <v>0.2</v>
      </c>
      <c r="F14" s="24">
        <v>80000000</v>
      </c>
      <c r="G14" s="80">
        <f t="shared" si="2"/>
        <v>0.65</v>
      </c>
      <c r="H14" s="6">
        <f>IF(G14&gt;1,F14*0.45,(F14*0.45*G14))</f>
        <v>23400000</v>
      </c>
      <c r="I14" s="6">
        <f>C14-H14</f>
        <v>-900000</v>
      </c>
      <c r="J14" s="81">
        <f t="shared" si="3"/>
        <v>-0.04</v>
      </c>
      <c r="K14" s="6">
        <f>(0.02*(0.45*A14)*30*B14)-(0.02*(0.45*F14)*30*B14)</f>
        <v>2700000</v>
      </c>
      <c r="L14" s="25">
        <f>+I14+K14</f>
        <v>1800000</v>
      </c>
      <c r="M14" s="28">
        <f>IF(G14&lt;1,F14*0.45*(1-G14),0)</f>
        <v>12600000</v>
      </c>
      <c r="N14" s="28">
        <f>IF(G14&lt;1,(D14-M14),D14)</f>
        <v>9900000</v>
      </c>
      <c r="O14" s="81">
        <f t="shared" si="4"/>
        <v>0.44</v>
      </c>
      <c r="P14" s="6">
        <f t="shared" si="5"/>
        <v>2700000</v>
      </c>
      <c r="Q14" s="6">
        <f t="shared" si="6"/>
        <v>5400000</v>
      </c>
      <c r="R14" s="25">
        <f t="shared" si="7"/>
        <v>18000000</v>
      </c>
      <c r="S14" s="15">
        <f t="shared" si="8"/>
        <v>19800000</v>
      </c>
      <c r="T14" s="58"/>
    </row>
    <row r="15" spans="1:27" x14ac:dyDescent="0.25">
      <c r="A15" s="90">
        <v>100000000</v>
      </c>
      <c r="B15" s="5">
        <v>0.5</v>
      </c>
      <c r="C15" s="6">
        <f t="shared" si="0"/>
        <v>22500000</v>
      </c>
      <c r="D15" s="25">
        <f t="shared" si="1"/>
        <v>22500000</v>
      </c>
      <c r="E15" s="79">
        <f>(A15-F15)/A15</f>
        <v>0.3</v>
      </c>
      <c r="F15" s="24">
        <v>70000000</v>
      </c>
      <c r="G15" s="80">
        <f t="shared" si="2"/>
        <v>0.72499999999999998</v>
      </c>
      <c r="H15" s="6">
        <f>IF(G15&gt;1,F15*0.45,(F15*0.45*G15))</f>
        <v>22837500</v>
      </c>
      <c r="I15" s="6">
        <f>C15-H15</f>
        <v>-337500</v>
      </c>
      <c r="J15" s="81">
        <f t="shared" si="3"/>
        <v>-1.4999999999999999E-2</v>
      </c>
      <c r="K15" s="6">
        <f>(0.02*(0.45*A15)*30*B15)-(0.02*(0.45*F15)*30*B15)</f>
        <v>4050000</v>
      </c>
      <c r="L15" s="100">
        <f>+I15+K15</f>
        <v>3712500</v>
      </c>
      <c r="M15" s="28">
        <f>IF(G15&lt;1,F15*0.45*(1-G15),0)</f>
        <v>8662500</v>
      </c>
      <c r="N15" s="28">
        <f>IF(G15&lt;1,(D15-M15),D15)</f>
        <v>13837500</v>
      </c>
      <c r="O15" s="81">
        <f t="shared" si="4"/>
        <v>0.61499999999999999</v>
      </c>
      <c r="P15" s="6">
        <f t="shared" si="5"/>
        <v>4050000</v>
      </c>
      <c r="Q15" s="6">
        <f t="shared" si="6"/>
        <v>8100000</v>
      </c>
      <c r="R15" s="25">
        <f t="shared" si="7"/>
        <v>25987500</v>
      </c>
      <c r="S15" s="15">
        <f t="shared" si="8"/>
        <v>29700000</v>
      </c>
      <c r="T15" s="58"/>
    </row>
    <row r="16" spans="1:27" x14ac:dyDescent="0.25">
      <c r="A16" s="34"/>
      <c r="B16" s="7"/>
      <c r="C16" s="6">
        <f t="shared" si="0"/>
        <v>0</v>
      </c>
      <c r="D16" s="25">
        <f t="shared" si="1"/>
        <v>0</v>
      </c>
      <c r="E16" s="84"/>
      <c r="F16" s="23"/>
      <c r="G16" s="26"/>
      <c r="H16" s="2"/>
      <c r="I16" s="2"/>
      <c r="J16" s="8"/>
      <c r="K16" s="2"/>
      <c r="L16" s="23"/>
      <c r="M16" s="28"/>
      <c r="N16" s="28"/>
      <c r="O16" s="8"/>
      <c r="P16" s="2"/>
      <c r="Q16" s="2"/>
      <c r="R16" s="23"/>
      <c r="S16" s="3"/>
      <c r="T16" s="58"/>
    </row>
    <row r="17" spans="1:20" x14ac:dyDescent="0.25">
      <c r="A17" s="90">
        <v>100000000</v>
      </c>
      <c r="B17" s="5">
        <v>0.96</v>
      </c>
      <c r="C17" s="6">
        <f t="shared" si="0"/>
        <v>43200000</v>
      </c>
      <c r="D17" s="25">
        <f t="shared" si="1"/>
        <v>1800000.0000000016</v>
      </c>
      <c r="E17" s="79">
        <f>(A17-F17)/A17</f>
        <v>0.1</v>
      </c>
      <c r="F17" s="24">
        <v>90000000</v>
      </c>
      <c r="G17" s="80">
        <f t="shared" ref="G17:G19" si="9">IF(+B17&gt;=0.89,+B17+E17,+B17+(E17*0.75))</f>
        <v>1.06</v>
      </c>
      <c r="H17" s="6">
        <f>IF(G17&gt;1,F17*0.45,(F17*0.45*G17))</f>
        <v>40500000</v>
      </c>
      <c r="I17" s="6">
        <f>C17-H17</f>
        <v>2700000</v>
      </c>
      <c r="J17" s="81">
        <f t="shared" ref="J17:J19" si="10">I17/C17</f>
        <v>6.25E-2</v>
      </c>
      <c r="K17" s="6">
        <f>(0.02*(0.45*A17)*30*B17)-(0.02*(0.45*F17)*30*B17)</f>
        <v>2592000</v>
      </c>
      <c r="L17" s="100">
        <f>+I17+K17</f>
        <v>5292000</v>
      </c>
      <c r="M17" s="28">
        <f>IF(G17&gt;1,0,(F17*0.45*(1-G17)))</f>
        <v>0</v>
      </c>
      <c r="N17" s="28">
        <f>IF(G17&lt;1,(D17-M17),D17)</f>
        <v>1800000.0000000016</v>
      </c>
      <c r="O17" s="81">
        <f t="shared" ref="O17:O19" si="11">N17/D17</f>
        <v>1</v>
      </c>
      <c r="P17" s="6">
        <f t="shared" ref="P17:P19" si="12">(0.02*(0.45*A17)*30*(1-B17))-(0.02*(0.45*F17)*30*(1-B17))</f>
        <v>108000.00000000012</v>
      </c>
      <c r="Q17" s="6">
        <f t="shared" ref="Q17:Q19" si="13">(0.02*(0.45*A17)*30)-(0.02*(0.45*F17)*30)</f>
        <v>2700000</v>
      </c>
      <c r="R17" s="25">
        <f t="shared" ref="R17:R19" si="14">N17+P17+Q17</f>
        <v>4608000.0000000019</v>
      </c>
      <c r="S17" s="15">
        <f t="shared" ref="S17:S19" si="15">L17+R17</f>
        <v>9900000.0000000019</v>
      </c>
      <c r="T17" s="58"/>
    </row>
    <row r="18" spans="1:20" x14ac:dyDescent="0.25">
      <c r="A18" s="83">
        <v>100000000</v>
      </c>
      <c r="B18" s="5">
        <v>0.96</v>
      </c>
      <c r="C18" s="6">
        <f t="shared" si="0"/>
        <v>43200000</v>
      </c>
      <c r="D18" s="25">
        <f t="shared" si="1"/>
        <v>1800000.0000000016</v>
      </c>
      <c r="E18" s="79">
        <f>(A18-F18)/A18</f>
        <v>0.2</v>
      </c>
      <c r="F18" s="24">
        <v>80000000</v>
      </c>
      <c r="G18" s="80">
        <f t="shared" si="9"/>
        <v>1.1599999999999999</v>
      </c>
      <c r="H18" s="6">
        <f>IF(G18&gt;1,F18*0.45,(F18*0.45*G18))</f>
        <v>36000000</v>
      </c>
      <c r="I18" s="6">
        <f>C18-H18</f>
        <v>7200000</v>
      </c>
      <c r="J18" s="81">
        <f t="shared" si="10"/>
        <v>0.16666666666666666</v>
      </c>
      <c r="K18" s="6">
        <f>(0.02*(0.45*A18)*30*B18)-(0.02*(0.45*F18)*30*B18)</f>
        <v>5184000</v>
      </c>
      <c r="L18" s="25">
        <f>+I18+K18</f>
        <v>12384000</v>
      </c>
      <c r="M18" s="28">
        <f>IF(G18&gt;1,0,(F18*0.45*(1-G18)))</f>
        <v>0</v>
      </c>
      <c r="N18" s="28">
        <f>IF(G18&lt;1,(D18-M18),D18)</f>
        <v>1800000.0000000016</v>
      </c>
      <c r="O18" s="81">
        <f t="shared" si="11"/>
        <v>1</v>
      </c>
      <c r="P18" s="6">
        <f t="shared" si="12"/>
        <v>216000.00000000012</v>
      </c>
      <c r="Q18" s="6">
        <f t="shared" si="13"/>
        <v>5400000</v>
      </c>
      <c r="R18" s="25">
        <f t="shared" si="14"/>
        <v>7416000.0000000019</v>
      </c>
      <c r="S18" s="15">
        <f t="shared" si="15"/>
        <v>19800000</v>
      </c>
      <c r="T18" s="58"/>
    </row>
    <row r="19" spans="1:20" x14ac:dyDescent="0.25">
      <c r="A19" s="83">
        <v>100000000</v>
      </c>
      <c r="B19" s="5">
        <v>0.96</v>
      </c>
      <c r="C19" s="6">
        <f t="shared" si="0"/>
        <v>43200000</v>
      </c>
      <c r="D19" s="25">
        <f t="shared" si="1"/>
        <v>1800000.0000000016</v>
      </c>
      <c r="E19" s="79">
        <f>(A19-F19)/A19</f>
        <v>0.3</v>
      </c>
      <c r="F19" s="24">
        <v>70000000</v>
      </c>
      <c r="G19" s="80">
        <f t="shared" si="9"/>
        <v>1.26</v>
      </c>
      <c r="H19" s="6">
        <f>IF(G19&gt;1,F19*0.45,(F19*0.45*G19))</f>
        <v>31500000</v>
      </c>
      <c r="I19" s="6">
        <f>C19-H19</f>
        <v>11700000</v>
      </c>
      <c r="J19" s="81">
        <f t="shared" si="10"/>
        <v>0.27083333333333331</v>
      </c>
      <c r="K19" s="6">
        <f>(0.02*(0.45*A19)*30*B19)-(0.02*(0.45*F19)*30*B19)</f>
        <v>7776000</v>
      </c>
      <c r="L19" s="25">
        <f>+I19+K19</f>
        <v>19476000</v>
      </c>
      <c r="M19" s="28">
        <f>IF(G19&gt;1,0,(F19*0.45*(1-G19)))</f>
        <v>0</v>
      </c>
      <c r="N19" s="28">
        <f>IF(G19&lt;1,(D19-M19),D19)</f>
        <v>1800000.0000000016</v>
      </c>
      <c r="O19" s="81">
        <f t="shared" si="11"/>
        <v>1</v>
      </c>
      <c r="P19" s="6">
        <f t="shared" si="12"/>
        <v>324000.00000000023</v>
      </c>
      <c r="Q19" s="6">
        <f t="shared" si="13"/>
        <v>8100000</v>
      </c>
      <c r="R19" s="25">
        <f t="shared" si="14"/>
        <v>10224000.000000002</v>
      </c>
      <c r="S19" s="15">
        <f t="shared" si="15"/>
        <v>29700000</v>
      </c>
      <c r="T19" s="58"/>
    </row>
    <row r="20" spans="1:20" x14ac:dyDescent="0.25">
      <c r="A20" s="19"/>
      <c r="B20" s="85"/>
      <c r="C20" s="6"/>
      <c r="D20" s="25"/>
      <c r="E20" s="84"/>
      <c r="F20" s="97"/>
      <c r="G20" s="87"/>
      <c r="H20" s="86"/>
      <c r="I20" s="64"/>
      <c r="J20" s="88"/>
      <c r="K20" s="64"/>
      <c r="L20" s="101"/>
      <c r="M20" s="28"/>
      <c r="N20" s="89"/>
      <c r="O20" s="88"/>
      <c r="P20" s="64"/>
      <c r="Q20" s="64"/>
      <c r="R20" s="101"/>
      <c r="S20" s="91"/>
      <c r="T20" s="58"/>
    </row>
    <row r="21" spans="1:20" x14ac:dyDescent="0.25">
      <c r="A21" s="83">
        <v>100000000</v>
      </c>
      <c r="B21" s="5">
        <v>0.5</v>
      </c>
      <c r="C21" s="6">
        <f t="shared" si="0"/>
        <v>22500000</v>
      </c>
      <c r="D21" s="25">
        <f t="shared" si="1"/>
        <v>22500000</v>
      </c>
      <c r="E21" s="79">
        <f>(A21-F21)/A21</f>
        <v>0.1</v>
      </c>
      <c r="F21" s="22">
        <v>90000000</v>
      </c>
      <c r="G21" s="80">
        <f t="shared" ref="G21:G25" si="16">IF(+B21&gt;=0.89,+B21+E21,+B21+(E21*0.75))</f>
        <v>0.57499999999999996</v>
      </c>
      <c r="H21" s="6">
        <f>IF(G21&gt;1,F21*0.45,(F21*0.45*G21))</f>
        <v>23287500</v>
      </c>
      <c r="I21" s="6">
        <f>C21-H21</f>
        <v>-787500</v>
      </c>
      <c r="J21" s="81">
        <f t="shared" ref="J21:J25" si="17">I21/C21</f>
        <v>-3.5000000000000003E-2</v>
      </c>
      <c r="K21" s="6">
        <f t="shared" ref="K21:K25" si="18">(0.02*(0.45*A21)*30*B21)-(0.02*(0.45*F21)*30*B21)</f>
        <v>1350000</v>
      </c>
      <c r="L21" s="25">
        <f>+I21+K21</f>
        <v>562500</v>
      </c>
      <c r="M21" s="28">
        <f>IF(G21&lt;1,F21*0.45*(1-G21),0)</f>
        <v>17212500</v>
      </c>
      <c r="N21" s="28">
        <f>IF(G21&lt;1,(D21-M21),D21)</f>
        <v>5287500</v>
      </c>
      <c r="O21" s="81">
        <f t="shared" ref="O21:O25" si="19">N21/D21</f>
        <v>0.23499999999999999</v>
      </c>
      <c r="P21" s="6">
        <f t="shared" ref="P21:P25" si="20">(0.02*(0.45*A21)*30*(1-B21))-(0.02*(0.45*F21)*30*(1-B21))</f>
        <v>1350000</v>
      </c>
      <c r="Q21" s="6">
        <f t="shared" ref="Q21:Q25" si="21">(0.02*(0.45*A21)*30)-(0.02*(0.45*F21)*30)</f>
        <v>2700000</v>
      </c>
      <c r="R21" s="25">
        <f t="shared" ref="R21:R25" si="22">N21+P21+Q21</f>
        <v>9337500</v>
      </c>
      <c r="S21" s="15">
        <f t="shared" ref="S21:S25" si="23">L21+R21</f>
        <v>9900000</v>
      </c>
      <c r="T21" s="58"/>
    </row>
    <row r="22" spans="1:20" x14ac:dyDescent="0.25">
      <c r="A22" s="83">
        <v>100000000</v>
      </c>
      <c r="B22" s="5">
        <v>0.6</v>
      </c>
      <c r="C22" s="6">
        <f t="shared" si="0"/>
        <v>27000000</v>
      </c>
      <c r="D22" s="25">
        <f t="shared" si="1"/>
        <v>18000000</v>
      </c>
      <c r="E22" s="79">
        <f>(A22-F22)/A22</f>
        <v>0.1</v>
      </c>
      <c r="F22" s="22">
        <v>90000000</v>
      </c>
      <c r="G22" s="80">
        <f t="shared" si="16"/>
        <v>0.67500000000000004</v>
      </c>
      <c r="H22" s="6">
        <f>IF(G22&gt;1,F22*0.45,(F22*0.45*G22))</f>
        <v>27337500</v>
      </c>
      <c r="I22" s="6">
        <f>C22-H22</f>
        <v>-337500</v>
      </c>
      <c r="J22" s="81">
        <f t="shared" si="17"/>
        <v>-1.2500000000000001E-2</v>
      </c>
      <c r="K22" s="6">
        <f t="shared" si="18"/>
        <v>1620000</v>
      </c>
      <c r="L22" s="25">
        <f>+I22+K22</f>
        <v>1282500</v>
      </c>
      <c r="M22" s="28">
        <f>IF(G22&lt;1,F22*0.45*(1-G22),0)</f>
        <v>13162499.999999998</v>
      </c>
      <c r="N22" s="28">
        <f>IF(G22&lt;1,(D22-M22),D22)</f>
        <v>4837500.0000000019</v>
      </c>
      <c r="O22" s="81">
        <f t="shared" si="19"/>
        <v>0.2687500000000001</v>
      </c>
      <c r="P22" s="6">
        <f t="shared" si="20"/>
        <v>1080000</v>
      </c>
      <c r="Q22" s="6">
        <f t="shared" si="21"/>
        <v>2700000</v>
      </c>
      <c r="R22" s="25">
        <f t="shared" si="22"/>
        <v>8617500.0000000019</v>
      </c>
      <c r="S22" s="15">
        <f t="shared" si="23"/>
        <v>9900000.0000000019</v>
      </c>
      <c r="T22" s="58"/>
    </row>
    <row r="23" spans="1:20" x14ac:dyDescent="0.25">
      <c r="A23" s="83">
        <v>100000000</v>
      </c>
      <c r="B23" s="5">
        <v>0.7</v>
      </c>
      <c r="C23" s="6">
        <f t="shared" si="0"/>
        <v>31499999.999999996</v>
      </c>
      <c r="D23" s="25">
        <f t="shared" si="1"/>
        <v>13500000.000000002</v>
      </c>
      <c r="E23" s="79">
        <f>(A23-F23)/A23</f>
        <v>0.1</v>
      </c>
      <c r="F23" s="22">
        <v>90000000</v>
      </c>
      <c r="G23" s="80">
        <f t="shared" si="16"/>
        <v>0.77499999999999991</v>
      </c>
      <c r="H23" s="6">
        <f>IF(G23&gt;1,F23*0.45,(F23*0.45*G23))</f>
        <v>31387499.999999996</v>
      </c>
      <c r="I23" s="6">
        <f>C23-H23</f>
        <v>112500</v>
      </c>
      <c r="J23" s="81">
        <f t="shared" si="17"/>
        <v>3.5714285714285718E-3</v>
      </c>
      <c r="K23" s="6">
        <f t="shared" si="18"/>
        <v>1890000</v>
      </c>
      <c r="L23" s="25">
        <f>+I23+K23</f>
        <v>2002500</v>
      </c>
      <c r="M23" s="28">
        <f>IF(G23&lt;1,F23*0.45*(1-G23),0)</f>
        <v>9112500.0000000037</v>
      </c>
      <c r="N23" s="28">
        <f>IF(G23&lt;1,(D23-M23),D23)</f>
        <v>4387499.9999999981</v>
      </c>
      <c r="O23" s="81">
        <f t="shared" si="19"/>
        <v>0.32499999999999984</v>
      </c>
      <c r="P23" s="6">
        <f t="shared" si="20"/>
        <v>810000</v>
      </c>
      <c r="Q23" s="6">
        <f t="shared" si="21"/>
        <v>2700000</v>
      </c>
      <c r="R23" s="25">
        <f t="shared" si="22"/>
        <v>7897499.9999999981</v>
      </c>
      <c r="S23" s="15">
        <f t="shared" si="23"/>
        <v>9899999.9999999981</v>
      </c>
      <c r="T23" s="58"/>
    </row>
    <row r="24" spans="1:20" x14ac:dyDescent="0.25">
      <c r="A24" s="83">
        <v>100000000</v>
      </c>
      <c r="B24" s="5">
        <v>0.8</v>
      </c>
      <c r="C24" s="6">
        <f t="shared" si="0"/>
        <v>36000000</v>
      </c>
      <c r="D24" s="25">
        <f t="shared" si="1"/>
        <v>8999999.9999999981</v>
      </c>
      <c r="E24" s="79">
        <f>(A24-F24)/A24</f>
        <v>0.1</v>
      </c>
      <c r="F24" s="22">
        <v>90000000</v>
      </c>
      <c r="G24" s="80">
        <f t="shared" si="16"/>
        <v>0.875</v>
      </c>
      <c r="H24" s="6">
        <f>IF(G24&gt;1,F24*0.45,(F24*0.45*G24))</f>
        <v>35437500</v>
      </c>
      <c r="I24" s="6">
        <f>C24-H24</f>
        <v>562500</v>
      </c>
      <c r="J24" s="81">
        <f t="shared" si="17"/>
        <v>1.5625E-2</v>
      </c>
      <c r="K24" s="6">
        <f t="shared" si="18"/>
        <v>2160000</v>
      </c>
      <c r="L24" s="25">
        <f>+I24+K24</f>
        <v>2722500</v>
      </c>
      <c r="M24" s="28">
        <f>IF(G24&lt;1,F24*0.45*(1-G24),0)</f>
        <v>5062500</v>
      </c>
      <c r="N24" s="28">
        <f>IF(G24&lt;1,(D24-M24),D24)</f>
        <v>3937499.9999999981</v>
      </c>
      <c r="O24" s="81">
        <f t="shared" si="19"/>
        <v>0.43749999999999989</v>
      </c>
      <c r="P24" s="6">
        <f t="shared" si="20"/>
        <v>540000</v>
      </c>
      <c r="Q24" s="6">
        <f t="shared" si="21"/>
        <v>2700000</v>
      </c>
      <c r="R24" s="25">
        <f t="shared" si="22"/>
        <v>7177499.9999999981</v>
      </c>
      <c r="S24" s="15">
        <f t="shared" si="23"/>
        <v>9899999.9999999981</v>
      </c>
      <c r="T24" s="58"/>
    </row>
    <row r="25" spans="1:20" ht="15.75" thickBot="1" x14ac:dyDescent="0.3">
      <c r="A25" s="127">
        <v>100000000</v>
      </c>
      <c r="B25" s="128">
        <v>0.9</v>
      </c>
      <c r="C25" s="129">
        <f t="shared" si="0"/>
        <v>40500000</v>
      </c>
      <c r="D25" s="130">
        <f t="shared" si="1"/>
        <v>4499999.9999999991</v>
      </c>
      <c r="E25" s="131">
        <f>(A25-F25)/A25</f>
        <v>0.1</v>
      </c>
      <c r="F25" s="135">
        <v>90000000</v>
      </c>
      <c r="G25" s="174">
        <f t="shared" si="16"/>
        <v>1</v>
      </c>
      <c r="H25" s="129">
        <f>IF(G25&gt;1,F25*0.45,(F25*0.45*G25))</f>
        <v>40500000</v>
      </c>
      <c r="I25" s="129">
        <f>C25-H25</f>
        <v>0</v>
      </c>
      <c r="J25" s="132">
        <f t="shared" si="17"/>
        <v>0</v>
      </c>
      <c r="K25" s="129">
        <f t="shared" si="18"/>
        <v>2430000</v>
      </c>
      <c r="L25" s="129">
        <f>+I25+K25</f>
        <v>2430000</v>
      </c>
      <c r="M25" s="146">
        <f>IF(G25&lt;1,F25*0.45*(1-G25),0)</f>
        <v>0</v>
      </c>
      <c r="N25" s="133">
        <f>IF(G25&lt;1,(D25-M25),D25)</f>
        <v>4499999.9999999991</v>
      </c>
      <c r="O25" s="132">
        <f t="shared" si="19"/>
        <v>1</v>
      </c>
      <c r="P25" s="129">
        <f t="shared" si="20"/>
        <v>270000</v>
      </c>
      <c r="Q25" s="129">
        <f t="shared" si="21"/>
        <v>2700000</v>
      </c>
      <c r="R25" s="130">
        <f t="shared" si="22"/>
        <v>7469999.9999999991</v>
      </c>
      <c r="S25" s="134">
        <f t="shared" si="23"/>
        <v>9900000</v>
      </c>
      <c r="T25" s="58"/>
    </row>
    <row r="26" spans="1:20" x14ac:dyDescent="0.25">
      <c r="A26" s="83"/>
      <c r="B26" s="5"/>
      <c r="C26" s="6"/>
      <c r="D26" s="6"/>
      <c r="E26" s="5"/>
      <c r="F26" s="4"/>
      <c r="G26" s="175"/>
      <c r="H26" s="6"/>
      <c r="I26" s="6"/>
      <c r="J26" s="10"/>
      <c r="K26" s="6"/>
      <c r="L26" s="6"/>
      <c r="M26" s="28"/>
      <c r="N26" s="28"/>
      <c r="O26" s="10"/>
      <c r="P26" s="6"/>
      <c r="Q26" s="6"/>
      <c r="R26" s="6"/>
      <c r="S26" s="15"/>
    </row>
    <row r="27" spans="1:20" ht="15.75" thickBot="1" x14ac:dyDescent="0.3">
      <c r="A27" s="119"/>
      <c r="B27" s="120"/>
      <c r="C27" s="120"/>
      <c r="D27" s="121"/>
      <c r="E27" s="122"/>
      <c r="F27" s="121"/>
      <c r="G27" s="121"/>
      <c r="H27" s="123"/>
      <c r="I27" s="121"/>
      <c r="J27" s="123"/>
      <c r="K27" s="124"/>
      <c r="L27" s="121"/>
      <c r="M27" s="124"/>
      <c r="N27" s="125"/>
      <c r="O27" s="123"/>
      <c r="P27" s="124"/>
      <c r="Q27" s="124"/>
      <c r="R27" s="121"/>
      <c r="S27" s="126"/>
      <c r="T27" s="2"/>
    </row>
    <row r="28" spans="1:20" ht="19.5" customHeight="1" x14ac:dyDescent="0.25">
      <c r="A28" s="109" t="s">
        <v>82</v>
      </c>
      <c r="B28" s="110"/>
      <c r="C28" s="111"/>
      <c r="D28" s="112"/>
      <c r="E28" s="112"/>
      <c r="F28" s="113"/>
      <c r="G28" s="114"/>
      <c r="H28" s="111"/>
      <c r="I28" s="115"/>
      <c r="J28" s="116"/>
      <c r="K28" s="111" t="s">
        <v>57</v>
      </c>
      <c r="L28" s="115"/>
      <c r="M28" s="117"/>
      <c r="N28" s="118"/>
      <c r="O28" s="111"/>
      <c r="P28" s="111"/>
      <c r="Q28" s="115"/>
      <c r="R28" s="13"/>
      <c r="S28" s="116"/>
    </row>
    <row r="29" spans="1:20" ht="18" customHeight="1" thickBot="1" x14ac:dyDescent="0.3">
      <c r="A29" s="76">
        <v>56000000</v>
      </c>
      <c r="B29" s="9">
        <v>0.65</v>
      </c>
      <c r="C29" s="73">
        <f>+B29*(A29*0.45)</f>
        <v>16380000</v>
      </c>
      <c r="D29" s="155">
        <f>(1-B29)*(A29*0.45)</f>
        <v>8820000</v>
      </c>
      <c r="E29" s="153">
        <v>0.01</v>
      </c>
      <c r="F29" s="150">
        <v>55440000</v>
      </c>
      <c r="G29" s="8">
        <f t="shared" ref="G29:G31" si="24">IF(+B29&gt;=0.89,+B29+E29,+B29+(E29*0.75))</f>
        <v>0.65749999999999997</v>
      </c>
      <c r="H29" s="73">
        <f>(+F29*0.45)*G29</f>
        <v>16403310</v>
      </c>
      <c r="I29" s="6">
        <f>+C29-H29</f>
        <v>-23310</v>
      </c>
      <c r="J29" s="20">
        <f>I29/A29</f>
        <v>-4.1625000000000001E-4</v>
      </c>
      <c r="K29" s="129">
        <f t="shared" ref="K29:K31" si="25">(0.02*(0.45*A29)*30*B29)-(0.02*(0.45*F29)*30*B29)</f>
        <v>98280</v>
      </c>
      <c r="L29" s="147">
        <f>+I29+K29</f>
        <v>74970</v>
      </c>
      <c r="M29" s="28">
        <f>+IF(G29&gt;1,0,(1-G29)*(F29*0.45))</f>
        <v>8544690</v>
      </c>
      <c r="N29" s="28">
        <f>IF(G29&lt;1,(D29-M29), (D29+(M29*-1)))</f>
        <v>275310</v>
      </c>
      <c r="O29" s="138">
        <f t="shared" ref="O29:O31" si="26">N29/D29</f>
        <v>3.1214285714285715E-2</v>
      </c>
      <c r="P29" s="137">
        <f t="shared" ref="P29:P31" si="27">(0.02*(0.45*A29)*30*(1-B29))-(0.02*(0.45*F29)*30*(1-B29))</f>
        <v>52920</v>
      </c>
      <c r="Q29" s="137">
        <f t="shared" ref="Q29:Q31" si="28">(0.02*(0.45*A29)*30)-(0.02*(0.45*F29)*30)</f>
        <v>151200</v>
      </c>
      <c r="R29" s="139">
        <f t="shared" ref="R29:R31" si="29">N29+P29+Q29</f>
        <v>479430</v>
      </c>
      <c r="S29" s="140">
        <f t="shared" ref="S29:S31" si="30">L29+R29</f>
        <v>554400</v>
      </c>
    </row>
    <row r="30" spans="1:20" ht="18" customHeight="1" thickBot="1" x14ac:dyDescent="0.3">
      <c r="A30" s="76">
        <v>56000000</v>
      </c>
      <c r="B30" s="9">
        <v>0.65</v>
      </c>
      <c r="C30" s="73">
        <f>+B30*(A30*0.45)</f>
        <v>16380000</v>
      </c>
      <c r="D30" s="156">
        <f>(1-B30)*(A30*0.45)</f>
        <v>8820000</v>
      </c>
      <c r="E30" s="153">
        <v>0.1</v>
      </c>
      <c r="F30" s="151">
        <v>50400000</v>
      </c>
      <c r="G30" s="8">
        <f t="shared" si="24"/>
        <v>0.72500000000000009</v>
      </c>
      <c r="H30" s="73">
        <f>(+F30*0.45)*G30</f>
        <v>16443000.000000002</v>
      </c>
      <c r="I30" s="4">
        <f>+C30-H30</f>
        <v>-63000.000000001863</v>
      </c>
      <c r="J30" s="21">
        <f>I30/A30</f>
        <v>-1.1250000000000333E-3</v>
      </c>
      <c r="K30" s="129">
        <f t="shared" si="25"/>
        <v>982800</v>
      </c>
      <c r="L30" s="148">
        <f>+I30+K30</f>
        <v>919799.99999999814</v>
      </c>
      <c r="M30" s="28">
        <f>+IF(G30&gt;1,0,(1-G30)*(F30*0.45))</f>
        <v>6236999.9999999981</v>
      </c>
      <c r="N30" s="28">
        <f>IF(G30&lt;1,(D30-M30), (D30+(M30*-1)))</f>
        <v>2583000.0000000019</v>
      </c>
      <c r="O30" s="20">
        <f t="shared" si="26"/>
        <v>0.29285714285714309</v>
      </c>
      <c r="P30" s="78">
        <f t="shared" si="27"/>
        <v>529200</v>
      </c>
      <c r="Q30" s="78">
        <f t="shared" si="28"/>
        <v>1512000</v>
      </c>
      <c r="R30" s="141">
        <f t="shared" si="29"/>
        <v>4624200.0000000019</v>
      </c>
      <c r="S30" s="142">
        <f t="shared" si="30"/>
        <v>5544000</v>
      </c>
    </row>
    <row r="31" spans="1:20" ht="15.75" thickBot="1" x14ac:dyDescent="0.3">
      <c r="A31" s="76">
        <v>56000000</v>
      </c>
      <c r="B31" s="12">
        <v>0.77</v>
      </c>
      <c r="C31" s="74">
        <f>+B31*(A31*0.45)</f>
        <v>19404000</v>
      </c>
      <c r="D31" s="157">
        <f>(1-B31)*(A31*0.45)</f>
        <v>5796000</v>
      </c>
      <c r="E31" s="154">
        <v>0.1</v>
      </c>
      <c r="F31" s="152">
        <v>50400000</v>
      </c>
      <c r="G31" s="14">
        <f t="shared" si="24"/>
        <v>0.84499999999999997</v>
      </c>
      <c r="H31" s="74">
        <f>(+F31*0.45)*G31</f>
        <v>19164600</v>
      </c>
      <c r="I31" s="11">
        <f>+C31-H31</f>
        <v>239400</v>
      </c>
      <c r="J31" s="29">
        <f>I31/A31</f>
        <v>4.2750000000000002E-3</v>
      </c>
      <c r="K31" s="129">
        <f t="shared" si="25"/>
        <v>1164240</v>
      </c>
      <c r="L31" s="149">
        <f>+I31+K31</f>
        <v>1403640</v>
      </c>
      <c r="M31" s="30">
        <f>+IF(G31&gt;1,0,(1-G31)*(F31*0.45))</f>
        <v>3515400.0000000005</v>
      </c>
      <c r="N31" s="30">
        <f>IF(G31&lt;1,(D31-M31), (D31+(M31*-1)))</f>
        <v>2280599.9999999995</v>
      </c>
      <c r="O31" s="82">
        <f t="shared" si="26"/>
        <v>0.39347826086956511</v>
      </c>
      <c r="P31" s="45">
        <f t="shared" si="27"/>
        <v>347760</v>
      </c>
      <c r="Q31" s="45">
        <f t="shared" si="28"/>
        <v>1512000</v>
      </c>
      <c r="R31" s="143">
        <f t="shared" si="29"/>
        <v>4140359.9999999995</v>
      </c>
      <c r="S31" s="144">
        <f t="shared" si="30"/>
        <v>5544000</v>
      </c>
    </row>
    <row r="32" spans="1:20" ht="10.5" customHeight="1" x14ac:dyDescent="0.25">
      <c r="A32" s="34"/>
      <c r="B32" s="2"/>
      <c r="C32" s="2"/>
      <c r="D32" s="17"/>
      <c r="E32" s="64"/>
      <c r="F32" s="2"/>
      <c r="G32" s="2"/>
      <c r="H32" s="2"/>
      <c r="I32" s="2"/>
      <c r="J32" s="2"/>
      <c r="K32" s="17"/>
      <c r="L32" s="2"/>
      <c r="M32" s="17"/>
      <c r="N32" s="17"/>
      <c r="O32" s="2"/>
      <c r="P32" s="17"/>
      <c r="Q32" s="2"/>
      <c r="R32" s="2"/>
      <c r="S32" s="18"/>
    </row>
    <row r="33" spans="1:21" ht="12.75" customHeight="1" thickBot="1" x14ac:dyDescent="0.3">
      <c r="A33" s="210" t="s">
        <v>56</v>
      </c>
      <c r="B33" s="210"/>
      <c r="C33" s="211">
        <v>56000000000</v>
      </c>
      <c r="D33" s="211"/>
      <c r="E33" s="65" t="s">
        <v>58</v>
      </c>
      <c r="F33" s="67"/>
      <c r="G33" s="38"/>
      <c r="H33" s="39"/>
      <c r="I33" s="68"/>
      <c r="J33" s="68"/>
      <c r="K33" s="36"/>
      <c r="L33" s="36"/>
      <c r="M33" s="68"/>
      <c r="N33" s="68"/>
      <c r="O33" s="68"/>
      <c r="P33" s="36"/>
      <c r="Q33" s="36"/>
      <c r="R33" s="36"/>
      <c r="S33" s="37"/>
    </row>
    <row r="34" spans="1:21" s="1" customFormat="1" ht="12.75" customHeight="1" x14ac:dyDescent="0.25">
      <c r="A34" s="75"/>
      <c r="B34" s="40"/>
      <c r="C34" s="40"/>
      <c r="D34" s="40"/>
      <c r="E34" s="145"/>
      <c r="F34" s="40"/>
      <c r="G34" s="41"/>
      <c r="H34" s="41"/>
      <c r="I34" s="41"/>
      <c r="J34" s="41"/>
      <c r="K34" s="42"/>
      <c r="L34" s="42"/>
      <c r="M34" s="41"/>
      <c r="N34" s="40"/>
      <c r="O34" s="41"/>
      <c r="P34" s="42"/>
      <c r="Q34" s="42"/>
      <c r="R34" s="42"/>
      <c r="S34" s="171"/>
      <c r="T34" s="42"/>
    </row>
    <row r="35" spans="1:21" ht="11.25" customHeight="1" thickBot="1" x14ac:dyDescent="0.3">
      <c r="A35" s="173"/>
      <c r="B35" s="36"/>
      <c r="C35" s="36"/>
      <c r="D35" s="36"/>
      <c r="E35" s="6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7"/>
      <c r="T35" s="2"/>
    </row>
    <row r="36" spans="1:21" ht="15.75" x14ac:dyDescent="0.25">
      <c r="A36" s="109" t="s">
        <v>83</v>
      </c>
      <c r="B36" s="13"/>
      <c r="C36" s="13"/>
      <c r="D36" s="13"/>
      <c r="F36" s="13"/>
      <c r="G36" s="13"/>
      <c r="H36" s="13"/>
      <c r="I36" s="13"/>
      <c r="J36" s="2"/>
      <c r="K36" s="2"/>
      <c r="L36" s="34"/>
      <c r="S36" s="3"/>
    </row>
    <row r="37" spans="1:21" ht="45" customHeight="1" x14ac:dyDescent="0.25">
      <c r="A37" s="43" t="s">
        <v>60</v>
      </c>
      <c r="B37" s="160" t="s">
        <v>66</v>
      </c>
      <c r="C37" s="212" t="s">
        <v>65</v>
      </c>
      <c r="D37" s="213"/>
      <c r="E37" s="160" t="s">
        <v>64</v>
      </c>
      <c r="F37" s="43" t="s">
        <v>62</v>
      </c>
      <c r="G37" s="214" t="s">
        <v>67</v>
      </c>
      <c r="H37" s="215"/>
      <c r="I37" s="176"/>
      <c r="J37" s="216"/>
      <c r="K37" s="217"/>
      <c r="L37" s="2"/>
      <c r="N37" s="2"/>
      <c r="O37" s="2"/>
      <c r="S37" s="3"/>
    </row>
    <row r="38" spans="1:21" ht="15" customHeight="1" x14ac:dyDescent="0.25">
      <c r="A38" s="163">
        <v>0.65</v>
      </c>
      <c r="B38" s="77">
        <v>0.01</v>
      </c>
      <c r="C38" s="218">
        <f>+S29*1000</f>
        <v>554400000</v>
      </c>
      <c r="D38" s="219"/>
      <c r="E38" s="158">
        <v>0.04</v>
      </c>
      <c r="F38" s="161">
        <v>30</v>
      </c>
      <c r="G38" s="220">
        <f>+C38*((1+E38)^F38)</f>
        <v>1798139579.5592694</v>
      </c>
      <c r="H38" s="218"/>
      <c r="I38" s="183"/>
      <c r="J38" s="221"/>
      <c r="K38" s="222"/>
      <c r="L38" s="2"/>
      <c r="S38" s="3"/>
      <c r="U38" s="1"/>
    </row>
    <row r="39" spans="1:21" ht="15" customHeight="1" x14ac:dyDescent="0.25">
      <c r="A39" s="164">
        <v>0.65</v>
      </c>
      <c r="B39" s="153">
        <v>0.1</v>
      </c>
      <c r="C39" s="223">
        <f t="shared" ref="C39:C40" si="31">+S30*1000</f>
        <v>5544000000</v>
      </c>
      <c r="D39" s="224"/>
      <c r="E39" s="159">
        <v>0.04</v>
      </c>
      <c r="F39" s="162">
        <v>30</v>
      </c>
      <c r="G39" s="225">
        <f t="shared" ref="G39:G40" si="32">+C39*((1+E39)^F39)</f>
        <v>17981395795.592693</v>
      </c>
      <c r="H39" s="223"/>
      <c r="I39" s="181"/>
      <c r="J39" s="226"/>
      <c r="K39" s="227"/>
      <c r="L39" s="2"/>
      <c r="S39" s="3"/>
      <c r="U39" s="1"/>
    </row>
    <row r="40" spans="1:21" ht="15.75" thickBot="1" x14ac:dyDescent="0.3">
      <c r="A40" s="169">
        <v>0.77</v>
      </c>
      <c r="B40" s="170">
        <v>0.1</v>
      </c>
      <c r="C40" s="187">
        <f t="shared" si="31"/>
        <v>5544000000</v>
      </c>
      <c r="D40" s="188"/>
      <c r="E40" s="167">
        <v>0.04</v>
      </c>
      <c r="F40" s="168">
        <v>30</v>
      </c>
      <c r="G40" s="187">
        <f t="shared" si="32"/>
        <v>17981395795.592693</v>
      </c>
      <c r="H40" s="189"/>
      <c r="I40" s="182"/>
      <c r="J40" s="190"/>
      <c r="K40" s="191"/>
      <c r="L40" s="165"/>
      <c r="M40" s="166"/>
      <c r="N40" s="166"/>
      <c r="O40" s="166"/>
      <c r="P40" s="166"/>
      <c r="Q40" s="166"/>
      <c r="R40" s="166"/>
      <c r="S40" s="172"/>
    </row>
    <row r="41" spans="1:21" ht="15.75" thickTop="1" x14ac:dyDescent="0.25"/>
    <row r="45" spans="1:21" x14ac:dyDescent="0.25">
      <c r="C45" s="2"/>
    </row>
  </sheetData>
  <mergeCells count="22">
    <mergeCell ref="C40:D40"/>
    <mergeCell ref="G40:H40"/>
    <mergeCell ref="J40:K40"/>
    <mergeCell ref="C38:D38"/>
    <mergeCell ref="G38:H38"/>
    <mergeCell ref="J38:K38"/>
    <mergeCell ref="C39:D39"/>
    <mergeCell ref="G39:H39"/>
    <mergeCell ref="J39:K39"/>
    <mergeCell ref="A33:B33"/>
    <mergeCell ref="C33:D33"/>
    <mergeCell ref="C37:D37"/>
    <mergeCell ref="B1:S1"/>
    <mergeCell ref="A2:S2"/>
    <mergeCell ref="A4:D4"/>
    <mergeCell ref="E4:R4"/>
    <mergeCell ref="A6:D6"/>
    <mergeCell ref="E6:F6"/>
    <mergeCell ref="G6:L6"/>
    <mergeCell ref="M6:R6"/>
    <mergeCell ref="G37:H37"/>
    <mergeCell ref="J37:K37"/>
  </mergeCells>
  <pageMargins left="0.25" right="0.25" top="0.75" bottom="0.75" header="0.3" footer="0.3"/>
  <pageSetup paperSize="17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tabSelected="1" workbookViewId="0">
      <selection activeCell="B1" sqref="B1:S1"/>
    </sheetView>
  </sheetViews>
  <sheetFormatPr defaultRowHeight="15" x14ac:dyDescent="0.25"/>
  <cols>
    <col min="1" max="1" width="14" customWidth="1"/>
    <col min="2" max="2" width="10" customWidth="1"/>
    <col min="3" max="3" width="14.42578125" customWidth="1"/>
    <col min="4" max="4" width="13.5703125" customWidth="1"/>
    <col min="5" max="5" width="11.5703125" style="16" customWidth="1"/>
    <col min="6" max="6" width="14" customWidth="1"/>
    <col min="7" max="7" width="10.7109375" customWidth="1"/>
    <col min="8" max="9" width="14" customWidth="1"/>
    <col min="10" max="10" width="12.28515625" customWidth="1"/>
    <col min="11" max="11" width="16.7109375" customWidth="1"/>
    <col min="12" max="12" width="15.28515625" customWidth="1"/>
    <col min="13" max="13" width="17.140625" customWidth="1"/>
    <col min="14" max="14" width="16" customWidth="1"/>
    <col min="15" max="15" width="12.140625" customWidth="1"/>
    <col min="16" max="16" width="15.140625" customWidth="1"/>
    <col min="17" max="17" width="14.7109375" customWidth="1"/>
    <col min="18" max="18" width="13.28515625" customWidth="1"/>
    <col min="19" max="19" width="15.5703125" customWidth="1"/>
    <col min="20" max="20" width="12.5703125" customWidth="1"/>
    <col min="21" max="21" width="12" bestFit="1" customWidth="1"/>
    <col min="22" max="22" width="15.28515625" bestFit="1" customWidth="1"/>
  </cols>
  <sheetData>
    <row r="1" spans="1:27" ht="48" customHeight="1" thickBot="1" x14ac:dyDescent="0.3">
      <c r="A1" s="186" t="s">
        <v>19</v>
      </c>
      <c r="B1" s="233" t="s">
        <v>88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5"/>
    </row>
    <row r="2" spans="1:27" ht="31.5" customHeight="1" thickTop="1" thickBot="1" x14ac:dyDescent="0.3">
      <c r="A2" s="195" t="s">
        <v>61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7"/>
    </row>
    <row r="3" spans="1:27" ht="22.5" hidden="1" customHeight="1" thickTop="1" thickBot="1" x14ac:dyDescent="0.3">
      <c r="A3" s="31" t="s">
        <v>1</v>
      </c>
      <c r="B3" s="32" t="s">
        <v>3</v>
      </c>
      <c r="C3" s="31" t="s">
        <v>5</v>
      </c>
      <c r="D3" s="33" t="s">
        <v>4</v>
      </c>
      <c r="E3" s="50" t="s">
        <v>0</v>
      </c>
      <c r="F3" s="32" t="s">
        <v>2</v>
      </c>
      <c r="G3" s="32" t="s">
        <v>6</v>
      </c>
      <c r="H3" s="32" t="s">
        <v>7</v>
      </c>
      <c r="I3" s="31" t="s">
        <v>8</v>
      </c>
      <c r="J3" s="31" t="s">
        <v>9</v>
      </c>
      <c r="K3" s="33" t="s">
        <v>12</v>
      </c>
      <c r="L3" s="33" t="s">
        <v>13</v>
      </c>
      <c r="M3" s="32" t="s">
        <v>10</v>
      </c>
      <c r="N3" s="32" t="s">
        <v>11</v>
      </c>
      <c r="O3" s="31" t="s">
        <v>9</v>
      </c>
      <c r="P3" s="33" t="s">
        <v>12</v>
      </c>
      <c r="Q3" s="33"/>
      <c r="R3" s="33" t="s">
        <v>13</v>
      </c>
      <c r="S3" s="33" t="s">
        <v>13</v>
      </c>
      <c r="T3" s="34"/>
    </row>
    <row r="4" spans="1:27" ht="22.5" customHeight="1" thickTop="1" x14ac:dyDescent="0.35">
      <c r="A4" s="198" t="s">
        <v>14</v>
      </c>
      <c r="B4" s="199"/>
      <c r="C4" s="199"/>
      <c r="D4" s="200"/>
      <c r="E4" s="201" t="s">
        <v>28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2"/>
      <c r="S4" s="177"/>
      <c r="T4" s="2"/>
    </row>
    <row r="5" spans="1:27" ht="18" customHeight="1" x14ac:dyDescent="0.3">
      <c r="A5" s="69" t="s">
        <v>0</v>
      </c>
      <c r="B5" s="70" t="s">
        <v>1</v>
      </c>
      <c r="C5" s="70" t="s">
        <v>2</v>
      </c>
      <c r="D5" s="94" t="s">
        <v>3</v>
      </c>
      <c r="E5" s="71" t="s">
        <v>4</v>
      </c>
      <c r="F5" s="71" t="s">
        <v>5</v>
      </c>
      <c r="G5" s="71" t="s">
        <v>6</v>
      </c>
      <c r="H5" s="71" t="s">
        <v>7</v>
      </c>
      <c r="I5" s="71" t="s">
        <v>8</v>
      </c>
      <c r="J5" s="71" t="s">
        <v>9</v>
      </c>
      <c r="K5" s="71" t="s">
        <v>10</v>
      </c>
      <c r="L5" s="71" t="s">
        <v>11</v>
      </c>
      <c r="M5" s="71" t="s">
        <v>12</v>
      </c>
      <c r="N5" s="71" t="s">
        <v>13</v>
      </c>
      <c r="O5" s="71" t="s">
        <v>51</v>
      </c>
      <c r="P5" s="71" t="s">
        <v>52</v>
      </c>
      <c r="Q5" s="71" t="s">
        <v>53</v>
      </c>
      <c r="R5" s="72" t="s">
        <v>54</v>
      </c>
      <c r="S5" s="178" t="s">
        <v>55</v>
      </c>
      <c r="T5" s="2"/>
    </row>
    <row r="6" spans="1:27" s="44" customFormat="1" ht="25.5" customHeight="1" x14ac:dyDescent="0.35">
      <c r="A6" s="203" t="s">
        <v>50</v>
      </c>
      <c r="B6" s="204"/>
      <c r="C6" s="204"/>
      <c r="D6" s="205"/>
      <c r="E6" s="204"/>
      <c r="F6" s="205"/>
      <c r="G6" s="206" t="s">
        <v>17</v>
      </c>
      <c r="H6" s="206"/>
      <c r="I6" s="206"/>
      <c r="J6" s="206"/>
      <c r="K6" s="206"/>
      <c r="L6" s="207"/>
      <c r="M6" s="208" t="s">
        <v>18</v>
      </c>
      <c r="N6" s="208"/>
      <c r="O6" s="208"/>
      <c r="P6" s="208"/>
      <c r="Q6" s="208"/>
      <c r="R6" s="209"/>
      <c r="S6" s="179" t="s">
        <v>49</v>
      </c>
    </row>
    <row r="7" spans="1:27" s="27" customFormat="1" ht="40.5" customHeight="1" thickBot="1" x14ac:dyDescent="0.25">
      <c r="A7" s="46"/>
      <c r="B7" s="51"/>
      <c r="C7" s="51" t="s">
        <v>26</v>
      </c>
      <c r="D7" s="93" t="s">
        <v>27</v>
      </c>
      <c r="E7" s="92"/>
      <c r="F7" s="96"/>
      <c r="G7" s="95" t="s">
        <v>34</v>
      </c>
      <c r="H7" s="185" t="s">
        <v>84</v>
      </c>
      <c r="I7" s="53" t="s">
        <v>29</v>
      </c>
      <c r="J7" s="53" t="s">
        <v>30</v>
      </c>
      <c r="K7" s="54" t="s">
        <v>76</v>
      </c>
      <c r="L7" s="99" t="s">
        <v>31</v>
      </c>
      <c r="M7" s="98" t="s">
        <v>35</v>
      </c>
      <c r="N7" s="55" t="s">
        <v>39</v>
      </c>
      <c r="O7" s="49" t="s">
        <v>44</v>
      </c>
      <c r="P7" s="55" t="s">
        <v>77</v>
      </c>
      <c r="Q7" s="55" t="s">
        <v>78</v>
      </c>
      <c r="R7" s="102" t="s">
        <v>46</v>
      </c>
      <c r="S7" s="52" t="s">
        <v>48</v>
      </c>
    </row>
    <row r="8" spans="1:27" ht="93" customHeight="1" thickBot="1" x14ac:dyDescent="0.3">
      <c r="A8" s="103" t="s">
        <v>21</v>
      </c>
      <c r="B8" s="47" t="s">
        <v>32</v>
      </c>
      <c r="C8" s="48" t="s">
        <v>23</v>
      </c>
      <c r="D8" s="57" t="s">
        <v>22</v>
      </c>
      <c r="E8" s="104" t="s">
        <v>25</v>
      </c>
      <c r="F8" s="105" t="s">
        <v>24</v>
      </c>
      <c r="G8" s="106" t="s">
        <v>33</v>
      </c>
      <c r="H8" s="48" t="s">
        <v>20</v>
      </c>
      <c r="I8" s="48" t="s">
        <v>15</v>
      </c>
      <c r="J8" s="48" t="s">
        <v>16</v>
      </c>
      <c r="K8" s="48" t="s">
        <v>41</v>
      </c>
      <c r="L8" s="107" t="s">
        <v>42</v>
      </c>
      <c r="M8" s="108" t="s">
        <v>36</v>
      </c>
      <c r="N8" s="56" t="s">
        <v>37</v>
      </c>
      <c r="O8" s="56" t="s">
        <v>38</v>
      </c>
      <c r="P8" s="56" t="s">
        <v>40</v>
      </c>
      <c r="Q8" s="56" t="s">
        <v>43</v>
      </c>
      <c r="R8" s="57" t="s">
        <v>45</v>
      </c>
      <c r="S8" s="105" t="s">
        <v>47</v>
      </c>
      <c r="U8" s="35"/>
      <c r="V8" s="35"/>
      <c r="W8" s="35"/>
      <c r="X8" s="35"/>
      <c r="Y8" s="27"/>
      <c r="Z8" s="27"/>
      <c r="AA8" s="27"/>
    </row>
    <row r="9" spans="1:27" x14ac:dyDescent="0.25">
      <c r="A9" s="83">
        <v>100000000</v>
      </c>
      <c r="B9" s="5">
        <v>0.5</v>
      </c>
      <c r="C9" s="6">
        <f>(A9*0.45)*(B9)</f>
        <v>22500000</v>
      </c>
      <c r="D9" s="25">
        <f>(A9*0.45)*(1-B9)</f>
        <v>22500000</v>
      </c>
      <c r="E9" s="79">
        <f>(A9-F9)/A9</f>
        <v>0.01</v>
      </c>
      <c r="F9" s="22">
        <v>99000000</v>
      </c>
      <c r="G9" s="184">
        <f>IF(+B9&gt;=0.89,+B9+E9,+B9+(E9*0.75))+IF(E9&gt;0.299999999,E9*0.5,0)</f>
        <v>0.50749999999999995</v>
      </c>
      <c r="H9" s="6">
        <f>IF(G9&gt;1,F9*0.45,(F9*0.45*G9))</f>
        <v>22609124.999999996</v>
      </c>
      <c r="I9" s="6">
        <f>C9-H9</f>
        <v>-109124.99999999627</v>
      </c>
      <c r="J9" s="81">
        <f>I9/C9</f>
        <v>-4.8499999999998345E-3</v>
      </c>
      <c r="K9" s="6">
        <f>(0.02*(0.45*A9)*30*B9)-(0.02*(0.45*F9)*30*B9)</f>
        <v>135000</v>
      </c>
      <c r="L9" s="25">
        <f>+I9+K9</f>
        <v>25875.000000003725</v>
      </c>
      <c r="M9" s="28">
        <f>IF(G9&lt;1,F9*0.45*(1-G9),0)</f>
        <v>21940875.000000004</v>
      </c>
      <c r="N9" s="28">
        <f>IF(G9&lt;1,(D9-M9),D9)</f>
        <v>559124.99999999627</v>
      </c>
      <c r="O9" s="81">
        <f>N9/D9</f>
        <v>2.4849999999999834E-2</v>
      </c>
      <c r="P9" s="6">
        <f>(0.02*(0.45*A9)*30*(1-B9))-(0.02*(0.45*F9)*30*(1-B9))</f>
        <v>135000</v>
      </c>
      <c r="Q9" s="6">
        <f>(0.02*(0.45*A9)*30)-(0.02*(0.45*F9)*30)</f>
        <v>270000</v>
      </c>
      <c r="R9" s="25">
        <f>N9+P9+Q9</f>
        <v>964124.99999999627</v>
      </c>
      <c r="S9" s="15">
        <f>L9+R9</f>
        <v>990000</v>
      </c>
      <c r="T9" s="58"/>
      <c r="Y9" s="27"/>
      <c r="Z9" s="27"/>
      <c r="AA9" s="27"/>
    </row>
    <row r="10" spans="1:27" x14ac:dyDescent="0.25">
      <c r="A10" s="34"/>
      <c r="B10" s="7"/>
      <c r="C10" s="6">
        <f t="shared" ref="C10:C25" si="0">(A10*0.45)*(B10)</f>
        <v>0</v>
      </c>
      <c r="D10" s="25">
        <f t="shared" ref="D10:D25" si="1">(A10*0.45)*(1-B10)</f>
        <v>0</v>
      </c>
      <c r="E10" s="84"/>
      <c r="F10" s="23"/>
      <c r="G10" s="26"/>
      <c r="H10" s="2"/>
      <c r="I10" s="2"/>
      <c r="J10" s="8"/>
      <c r="K10" s="6"/>
      <c r="L10" s="23"/>
      <c r="M10" s="28"/>
      <c r="N10" s="28"/>
      <c r="O10" s="8"/>
      <c r="P10" s="2"/>
      <c r="Q10" s="2"/>
      <c r="R10" s="23"/>
      <c r="S10" s="3"/>
      <c r="T10" s="58"/>
    </row>
    <row r="11" spans="1:27" x14ac:dyDescent="0.25">
      <c r="A11" s="83">
        <v>100000000</v>
      </c>
      <c r="B11" s="5">
        <v>0.96</v>
      </c>
      <c r="C11" s="6">
        <f t="shared" si="0"/>
        <v>43200000</v>
      </c>
      <c r="D11" s="25">
        <f t="shared" si="1"/>
        <v>1800000.0000000016</v>
      </c>
      <c r="E11" s="79">
        <f>(A11-F11)/A11</f>
        <v>0.01</v>
      </c>
      <c r="F11" s="22">
        <v>99000000</v>
      </c>
      <c r="G11" s="80">
        <f>IF(+B11&gt;=0.89,+B11+E11,+B11+(E11*0.75))+IF(E11&gt;0.299999999,E11*0.5,0)</f>
        <v>0.97</v>
      </c>
      <c r="H11" s="6">
        <f>IF(G11&gt;1,F11*0.45,(F11*0.45*G11))</f>
        <v>43213500</v>
      </c>
      <c r="I11" s="6">
        <f>C11-H11</f>
        <v>-13500</v>
      </c>
      <c r="J11" s="81">
        <f>I11/C11</f>
        <v>-3.1250000000000001E-4</v>
      </c>
      <c r="K11" s="6">
        <f>(0.02*(0.45*A11)*30*B11)-(0.02*(0.45*F11)*30*B11)</f>
        <v>259200</v>
      </c>
      <c r="L11" s="25">
        <f>+I11+K11</f>
        <v>245700</v>
      </c>
      <c r="M11" s="28">
        <f>IF(G11&lt;1,F11*0.45*(1-G11),0)</f>
        <v>1336500.0000000012</v>
      </c>
      <c r="N11" s="28">
        <f>IF(G11&lt;1,(D11-M11),D11)</f>
        <v>463500.00000000047</v>
      </c>
      <c r="O11" s="81">
        <f>N11/D11</f>
        <v>0.25750000000000001</v>
      </c>
      <c r="P11" s="6">
        <f>(0.02*(0.45*A11)*30*(1-B11))-(0.02*(0.45*F11)*30*(1-B11))</f>
        <v>10800</v>
      </c>
      <c r="Q11" s="6">
        <f>(0.02*(0.45*A11)*30)-(0.02*(0.45*F11)*30)</f>
        <v>270000</v>
      </c>
      <c r="R11" s="25">
        <f>N11+P11+Q11</f>
        <v>744300.00000000047</v>
      </c>
      <c r="S11" s="15">
        <f>L11+R11</f>
        <v>990000.00000000047</v>
      </c>
      <c r="T11" s="58"/>
    </row>
    <row r="12" spans="1:27" x14ac:dyDescent="0.25">
      <c r="A12" s="34"/>
      <c r="B12" s="7"/>
      <c r="C12" s="6"/>
      <c r="D12" s="25"/>
      <c r="E12" s="84"/>
      <c r="F12" s="23"/>
      <c r="G12" s="26"/>
      <c r="H12" s="2"/>
      <c r="I12" s="2"/>
      <c r="J12" s="8"/>
      <c r="K12" s="2"/>
      <c r="L12" s="23"/>
      <c r="M12" s="28"/>
      <c r="N12" s="28"/>
      <c r="O12" s="8"/>
      <c r="P12" s="2"/>
      <c r="Q12" s="2"/>
      <c r="R12" s="23"/>
      <c r="S12" s="3"/>
      <c r="T12" s="58"/>
    </row>
    <row r="13" spans="1:27" s="1" customFormat="1" x14ac:dyDescent="0.25">
      <c r="A13" s="90">
        <v>100000000</v>
      </c>
      <c r="B13" s="5">
        <v>0.45452999999999999</v>
      </c>
      <c r="C13" s="6">
        <f t="shared" si="0"/>
        <v>20453850</v>
      </c>
      <c r="D13" s="25">
        <f t="shared" si="1"/>
        <v>24546150</v>
      </c>
      <c r="E13" s="79">
        <f>(A13-F13)/A13</f>
        <v>0.1</v>
      </c>
      <c r="F13" s="24">
        <v>90000000</v>
      </c>
      <c r="G13" s="80">
        <f t="shared" ref="G13:G15" si="2">IF(+B13&gt;=0.89,+B13+E13,+B13+(E13*0.75))+IF(E13&gt;0.299999999,E13*0.5,0)</f>
        <v>0.52953000000000006</v>
      </c>
      <c r="H13" s="6">
        <f>IF(G13&gt;1,F13*0.45,(F13*0.45*G13))</f>
        <v>21445965.000000004</v>
      </c>
      <c r="I13" s="6">
        <f>C13-H13</f>
        <v>-992115.00000000373</v>
      </c>
      <c r="J13" s="81">
        <f t="shared" ref="J13:J15" si="3">I13/C13</f>
        <v>-4.8505049171672018E-2</v>
      </c>
      <c r="K13" s="6">
        <f>(0.02*(0.45*A13)*30*B13)-(0.02*(0.45*F13)*30*B13)</f>
        <v>1227231</v>
      </c>
      <c r="L13" s="25">
        <f>+I13+K13</f>
        <v>235115.99999999627</v>
      </c>
      <c r="M13" s="28">
        <f>IF(G13&lt;1,F13*0.45*(1-G13),0)</f>
        <v>19054034.999999996</v>
      </c>
      <c r="N13" s="28">
        <f>IF(G13&lt;1,(D13-M13),D13)</f>
        <v>5492115.0000000037</v>
      </c>
      <c r="O13" s="81">
        <f t="shared" ref="O13:O15" si="4">N13/D13</f>
        <v>0.22374649384934109</v>
      </c>
      <c r="P13" s="6">
        <f t="shared" ref="P13:P15" si="5">(0.02*(0.45*A13)*30*(1-B13))-(0.02*(0.45*F13)*30*(1-B13))</f>
        <v>1472769</v>
      </c>
      <c r="Q13" s="6">
        <f t="shared" ref="Q13:Q15" si="6">(0.02*(0.45*A13)*30)-(0.02*(0.45*F13)*30)</f>
        <v>2700000</v>
      </c>
      <c r="R13" s="25">
        <f t="shared" ref="R13:R15" si="7">N13+P13+Q13</f>
        <v>9664884.0000000037</v>
      </c>
      <c r="S13" s="15">
        <f t="shared" ref="S13:S15" si="8">L13+R13</f>
        <v>9900000</v>
      </c>
      <c r="T13" s="58"/>
    </row>
    <row r="14" spans="1:27" x14ac:dyDescent="0.25">
      <c r="A14" s="90">
        <v>100000000</v>
      </c>
      <c r="B14" s="5">
        <v>0.5</v>
      </c>
      <c r="C14" s="6">
        <f t="shared" si="0"/>
        <v>22500000</v>
      </c>
      <c r="D14" s="25">
        <f t="shared" si="1"/>
        <v>22500000</v>
      </c>
      <c r="E14" s="79">
        <f>(A14-F14)/A14</f>
        <v>0.2</v>
      </c>
      <c r="F14" s="24">
        <v>80000000</v>
      </c>
      <c r="G14" s="80">
        <f t="shared" si="2"/>
        <v>0.65</v>
      </c>
      <c r="H14" s="6">
        <f>IF(G14&gt;1,F14*0.45,(F14*0.45*G14))</f>
        <v>23400000</v>
      </c>
      <c r="I14" s="6">
        <f>C14-H14</f>
        <v>-900000</v>
      </c>
      <c r="J14" s="81">
        <f t="shared" si="3"/>
        <v>-0.04</v>
      </c>
      <c r="K14" s="6">
        <f>(0.02*(0.45*A14)*30*B14)-(0.02*(0.45*F14)*30*B14)</f>
        <v>2700000</v>
      </c>
      <c r="L14" s="25">
        <f>+I14+K14</f>
        <v>1800000</v>
      </c>
      <c r="M14" s="28">
        <f>IF(G14&lt;1,F14*0.45*(1-G14),0)</f>
        <v>12600000</v>
      </c>
      <c r="N14" s="28">
        <f>IF(G14&lt;1,(D14-M14),D14)</f>
        <v>9900000</v>
      </c>
      <c r="O14" s="81">
        <f t="shared" si="4"/>
        <v>0.44</v>
      </c>
      <c r="P14" s="6">
        <f t="shared" si="5"/>
        <v>2700000</v>
      </c>
      <c r="Q14" s="6">
        <f t="shared" si="6"/>
        <v>5400000</v>
      </c>
      <c r="R14" s="25">
        <f t="shared" si="7"/>
        <v>18000000</v>
      </c>
      <c r="S14" s="15">
        <f t="shared" si="8"/>
        <v>19800000</v>
      </c>
      <c r="T14" s="58"/>
    </row>
    <row r="15" spans="1:27" x14ac:dyDescent="0.25">
      <c r="A15" s="90">
        <v>100000000</v>
      </c>
      <c r="B15" s="5">
        <v>0.5</v>
      </c>
      <c r="C15" s="6">
        <f t="shared" si="0"/>
        <v>22500000</v>
      </c>
      <c r="D15" s="25">
        <f t="shared" si="1"/>
        <v>22500000</v>
      </c>
      <c r="E15" s="79">
        <f>(A15-F15)/A15</f>
        <v>0.3</v>
      </c>
      <c r="F15" s="24">
        <v>70000000</v>
      </c>
      <c r="G15" s="80">
        <f t="shared" si="2"/>
        <v>0.875</v>
      </c>
      <c r="H15" s="6">
        <f>IF(G15&gt;1,F15*0.45,(F15*0.45*G15))</f>
        <v>27562500</v>
      </c>
      <c r="I15" s="6">
        <f>C15-H15</f>
        <v>-5062500</v>
      </c>
      <c r="J15" s="81">
        <f t="shared" si="3"/>
        <v>-0.22500000000000001</v>
      </c>
      <c r="K15" s="6">
        <f>(0.02*(0.45*A15)*30*B15)-(0.02*(0.45*F15)*30*B15)</f>
        <v>4050000</v>
      </c>
      <c r="L15" s="100">
        <f>+I15+K15</f>
        <v>-1012500</v>
      </c>
      <c r="M15" s="28">
        <f>IF(G15&lt;1,F15*0.45*(1-G15),0)</f>
        <v>3937500</v>
      </c>
      <c r="N15" s="28">
        <f>IF(G15&lt;1,(D15-M15),D15)</f>
        <v>18562500</v>
      </c>
      <c r="O15" s="81">
        <f t="shared" si="4"/>
        <v>0.82499999999999996</v>
      </c>
      <c r="P15" s="6">
        <f t="shared" si="5"/>
        <v>4050000</v>
      </c>
      <c r="Q15" s="6">
        <f t="shared" si="6"/>
        <v>8100000</v>
      </c>
      <c r="R15" s="25">
        <f t="shared" si="7"/>
        <v>30712500</v>
      </c>
      <c r="S15" s="15">
        <f t="shared" si="8"/>
        <v>29700000</v>
      </c>
      <c r="T15" s="58"/>
    </row>
    <row r="16" spans="1:27" x14ac:dyDescent="0.25">
      <c r="A16" s="34"/>
      <c r="B16" s="7"/>
      <c r="C16" s="6">
        <f t="shared" si="0"/>
        <v>0</v>
      </c>
      <c r="D16" s="25">
        <f t="shared" si="1"/>
        <v>0</v>
      </c>
      <c r="E16" s="84"/>
      <c r="F16" s="23"/>
      <c r="G16" s="26"/>
      <c r="H16" s="2"/>
      <c r="I16" s="2"/>
      <c r="J16" s="8"/>
      <c r="K16" s="2"/>
      <c r="L16" s="23"/>
      <c r="M16" s="28"/>
      <c r="N16" s="28"/>
      <c r="O16" s="8"/>
      <c r="P16" s="2"/>
      <c r="Q16" s="2"/>
      <c r="R16" s="23"/>
      <c r="S16" s="3"/>
      <c r="T16" s="58"/>
    </row>
    <row r="17" spans="1:20" x14ac:dyDescent="0.25">
      <c r="A17" s="90">
        <v>100000000</v>
      </c>
      <c r="B17" s="5">
        <v>0.96</v>
      </c>
      <c r="C17" s="6">
        <f t="shared" si="0"/>
        <v>43200000</v>
      </c>
      <c r="D17" s="25">
        <f t="shared" si="1"/>
        <v>1800000.0000000016</v>
      </c>
      <c r="E17" s="79">
        <f>(A17-F17)/A17</f>
        <v>0.1</v>
      </c>
      <c r="F17" s="24">
        <v>90000000</v>
      </c>
      <c r="G17" s="80">
        <f t="shared" ref="G17:G19" si="9">IF(+B17&gt;=0.89,+B17+E17,+B17+(E17*0.75))+IF(E17&gt;0.299999999,E17*0.5,0)</f>
        <v>1.06</v>
      </c>
      <c r="H17" s="6">
        <f>IF(G17&gt;1,F17*0.45,(F17*0.45*G17))</f>
        <v>40500000</v>
      </c>
      <c r="I17" s="6">
        <f>C17-H17</f>
        <v>2700000</v>
      </c>
      <c r="J17" s="81">
        <f t="shared" ref="J17:J19" si="10">I17/C17</f>
        <v>6.25E-2</v>
      </c>
      <c r="K17" s="6">
        <f>(0.02*(0.45*A17)*30*B17)-(0.02*(0.45*F17)*30*B17)</f>
        <v>2592000</v>
      </c>
      <c r="L17" s="100">
        <f>+I17+K17</f>
        <v>5292000</v>
      </c>
      <c r="M17" s="28">
        <f>IF(G17&gt;1,0,(F17*0.45*(1-G17)))</f>
        <v>0</v>
      </c>
      <c r="N17" s="28">
        <f>IF(G17&lt;1,(D17-M17),D17)</f>
        <v>1800000.0000000016</v>
      </c>
      <c r="O17" s="81">
        <f t="shared" ref="O17:O19" si="11">N17/D17</f>
        <v>1</v>
      </c>
      <c r="P17" s="6">
        <f t="shared" ref="P17:P19" si="12">(0.02*(0.45*A17)*30*(1-B17))-(0.02*(0.45*F17)*30*(1-B17))</f>
        <v>108000.00000000012</v>
      </c>
      <c r="Q17" s="6">
        <f t="shared" ref="Q17:Q19" si="13">(0.02*(0.45*A17)*30)-(0.02*(0.45*F17)*30)</f>
        <v>2700000</v>
      </c>
      <c r="R17" s="25">
        <f t="shared" ref="R17:R19" si="14">N17+P17+Q17</f>
        <v>4608000.0000000019</v>
      </c>
      <c r="S17" s="15">
        <f t="shared" ref="S17:S19" si="15">L17+R17</f>
        <v>9900000.0000000019</v>
      </c>
      <c r="T17" s="58"/>
    </row>
    <row r="18" spans="1:20" x14ac:dyDescent="0.25">
      <c r="A18" s="83">
        <v>100000000</v>
      </c>
      <c r="B18" s="5">
        <v>0.96</v>
      </c>
      <c r="C18" s="6">
        <f t="shared" si="0"/>
        <v>43200000</v>
      </c>
      <c r="D18" s="25">
        <f t="shared" si="1"/>
        <v>1800000.0000000016</v>
      </c>
      <c r="E18" s="79">
        <f>(A18-F18)/A18</f>
        <v>0.2</v>
      </c>
      <c r="F18" s="24">
        <v>80000000</v>
      </c>
      <c r="G18" s="80">
        <f t="shared" si="9"/>
        <v>1.1599999999999999</v>
      </c>
      <c r="H18" s="6">
        <f>IF(G18&gt;1,F18*0.45,(F18*0.45*G18))</f>
        <v>36000000</v>
      </c>
      <c r="I18" s="6">
        <f>C18-H18</f>
        <v>7200000</v>
      </c>
      <c r="J18" s="81">
        <f t="shared" si="10"/>
        <v>0.16666666666666666</v>
      </c>
      <c r="K18" s="6">
        <f>(0.02*(0.45*A18)*30*B18)-(0.02*(0.45*F18)*30*B18)</f>
        <v>5184000</v>
      </c>
      <c r="L18" s="25">
        <f>+I18+K18</f>
        <v>12384000</v>
      </c>
      <c r="M18" s="28">
        <f>IF(G18&gt;1,0,(F18*0.45*(1-G18)))</f>
        <v>0</v>
      </c>
      <c r="N18" s="28">
        <f>IF(G18&lt;1,(D18-M18),D18)</f>
        <v>1800000.0000000016</v>
      </c>
      <c r="O18" s="81">
        <f t="shared" si="11"/>
        <v>1</v>
      </c>
      <c r="P18" s="6">
        <f t="shared" si="12"/>
        <v>216000.00000000012</v>
      </c>
      <c r="Q18" s="6">
        <f t="shared" si="13"/>
        <v>5400000</v>
      </c>
      <c r="R18" s="25">
        <f t="shared" si="14"/>
        <v>7416000.0000000019</v>
      </c>
      <c r="S18" s="15">
        <f t="shared" si="15"/>
        <v>19800000</v>
      </c>
      <c r="T18" s="58"/>
    </row>
    <row r="19" spans="1:20" x14ac:dyDescent="0.25">
      <c r="A19" s="83">
        <v>100000000</v>
      </c>
      <c r="B19" s="5">
        <v>0.96</v>
      </c>
      <c r="C19" s="6">
        <f t="shared" si="0"/>
        <v>43200000</v>
      </c>
      <c r="D19" s="25">
        <f t="shared" si="1"/>
        <v>1800000.0000000016</v>
      </c>
      <c r="E19" s="79">
        <f>(A19-F19)/A19</f>
        <v>0.3</v>
      </c>
      <c r="F19" s="24">
        <v>70000000</v>
      </c>
      <c r="G19" s="80">
        <f t="shared" si="9"/>
        <v>1.41</v>
      </c>
      <c r="H19" s="6">
        <f>IF(G19&gt;1,F19*0.45,(F19*0.45*G19))</f>
        <v>31500000</v>
      </c>
      <c r="I19" s="6">
        <f>C19-H19</f>
        <v>11700000</v>
      </c>
      <c r="J19" s="81">
        <f t="shared" si="10"/>
        <v>0.27083333333333331</v>
      </c>
      <c r="K19" s="6">
        <f>(0.02*(0.45*A19)*30*B19)-(0.02*(0.45*F19)*30*B19)</f>
        <v>7776000</v>
      </c>
      <c r="L19" s="25">
        <f>+I19+K19</f>
        <v>19476000</v>
      </c>
      <c r="M19" s="28">
        <f>IF(G19&gt;1,0,(F19*0.45*(1-G19)))</f>
        <v>0</v>
      </c>
      <c r="N19" s="28">
        <f>IF(G19&lt;1,(D19-M19),D19)</f>
        <v>1800000.0000000016</v>
      </c>
      <c r="O19" s="81">
        <f t="shared" si="11"/>
        <v>1</v>
      </c>
      <c r="P19" s="6">
        <f t="shared" si="12"/>
        <v>324000.00000000023</v>
      </c>
      <c r="Q19" s="6">
        <f t="shared" si="13"/>
        <v>8100000</v>
      </c>
      <c r="R19" s="25">
        <f t="shared" si="14"/>
        <v>10224000.000000002</v>
      </c>
      <c r="S19" s="15">
        <f t="shared" si="15"/>
        <v>29700000</v>
      </c>
      <c r="T19" s="58"/>
    </row>
    <row r="20" spans="1:20" x14ac:dyDescent="0.25">
      <c r="A20" s="19"/>
      <c r="B20" s="85"/>
      <c r="C20" s="6"/>
      <c r="D20" s="25"/>
      <c r="E20" s="84"/>
      <c r="F20" s="97"/>
      <c r="G20" s="87"/>
      <c r="H20" s="86"/>
      <c r="I20" s="61"/>
      <c r="J20" s="88"/>
      <c r="K20" s="61"/>
      <c r="L20" s="101"/>
      <c r="M20" s="28"/>
      <c r="N20" s="89"/>
      <c r="O20" s="88"/>
      <c r="P20" s="61"/>
      <c r="Q20" s="61"/>
      <c r="R20" s="101"/>
      <c r="S20" s="91"/>
      <c r="T20" s="58"/>
    </row>
    <row r="21" spans="1:20" x14ac:dyDescent="0.25">
      <c r="A21" s="83">
        <v>100000000</v>
      </c>
      <c r="B21" s="5">
        <v>0.5</v>
      </c>
      <c r="C21" s="6">
        <f t="shared" si="0"/>
        <v>22500000</v>
      </c>
      <c r="D21" s="25">
        <f t="shared" si="1"/>
        <v>22500000</v>
      </c>
      <c r="E21" s="79">
        <f>(A21-F21)/A21</f>
        <v>0.1</v>
      </c>
      <c r="F21" s="22">
        <v>90000000</v>
      </c>
      <c r="G21" s="80">
        <f t="shared" ref="G21:G25" si="16">IF(+B21&gt;=0.89,+B21+E21,+B21+(E21*0.75))+IF(E21&gt;0.299999999,E21*0.5,0)</f>
        <v>0.57499999999999996</v>
      </c>
      <c r="H21" s="6">
        <f>IF(G21&gt;1,F21*0.45,(F21*0.45*G21))</f>
        <v>23287500</v>
      </c>
      <c r="I21" s="6">
        <f>C21-H21</f>
        <v>-787500</v>
      </c>
      <c r="J21" s="81">
        <f t="shared" ref="J21:J25" si="17">I21/C21</f>
        <v>-3.5000000000000003E-2</v>
      </c>
      <c r="K21" s="6">
        <f t="shared" ref="K21:K25" si="18">(0.02*(0.45*A21)*30*B21)-(0.02*(0.45*F21)*30*B21)</f>
        <v>1350000</v>
      </c>
      <c r="L21" s="25">
        <f>+I21+K21</f>
        <v>562500</v>
      </c>
      <c r="M21" s="28">
        <f>IF(G21&lt;1,F21*0.45*(1-G21),0)</f>
        <v>17212500</v>
      </c>
      <c r="N21" s="28">
        <f>IF(G21&lt;1,(D21-M21),D21)</f>
        <v>5287500</v>
      </c>
      <c r="O21" s="81">
        <f t="shared" ref="O21:O25" si="19">N21/D21</f>
        <v>0.23499999999999999</v>
      </c>
      <c r="P21" s="6">
        <f t="shared" ref="P21:P25" si="20">(0.02*(0.45*A21)*30*(1-B21))-(0.02*(0.45*F21)*30*(1-B21))</f>
        <v>1350000</v>
      </c>
      <c r="Q21" s="6">
        <f t="shared" ref="Q21:Q25" si="21">(0.02*(0.45*A21)*30)-(0.02*(0.45*F21)*30)</f>
        <v>2700000</v>
      </c>
      <c r="R21" s="25">
        <f t="shared" ref="R21:R25" si="22">N21+P21+Q21</f>
        <v>9337500</v>
      </c>
      <c r="S21" s="15">
        <f t="shared" ref="S21:S25" si="23">L21+R21</f>
        <v>9900000</v>
      </c>
      <c r="T21" s="58"/>
    </row>
    <row r="22" spans="1:20" x14ac:dyDescent="0.25">
      <c r="A22" s="83">
        <v>100000000</v>
      </c>
      <c r="B22" s="5">
        <v>0.6</v>
      </c>
      <c r="C22" s="6">
        <f t="shared" si="0"/>
        <v>27000000</v>
      </c>
      <c r="D22" s="25">
        <f t="shared" si="1"/>
        <v>18000000</v>
      </c>
      <c r="E22" s="79">
        <f>(A22-F22)/A22</f>
        <v>0.1</v>
      </c>
      <c r="F22" s="22">
        <v>90000000</v>
      </c>
      <c r="G22" s="80">
        <f t="shared" si="16"/>
        <v>0.67500000000000004</v>
      </c>
      <c r="H22" s="6">
        <f>IF(G22&gt;1,F22*0.45,(F22*0.45*G22))</f>
        <v>27337500</v>
      </c>
      <c r="I22" s="6">
        <f>C22-H22</f>
        <v>-337500</v>
      </c>
      <c r="J22" s="81">
        <f t="shared" si="17"/>
        <v>-1.2500000000000001E-2</v>
      </c>
      <c r="K22" s="6">
        <f t="shared" si="18"/>
        <v>1620000</v>
      </c>
      <c r="L22" s="25">
        <f>+I22+K22</f>
        <v>1282500</v>
      </c>
      <c r="M22" s="28">
        <f>IF(G22&lt;1,F22*0.45*(1-G22),0)</f>
        <v>13162499.999999998</v>
      </c>
      <c r="N22" s="28">
        <f>IF(G22&lt;1,(D22-M22),D22)</f>
        <v>4837500.0000000019</v>
      </c>
      <c r="O22" s="81">
        <f t="shared" si="19"/>
        <v>0.2687500000000001</v>
      </c>
      <c r="P22" s="6">
        <f t="shared" si="20"/>
        <v>1080000</v>
      </c>
      <c r="Q22" s="6">
        <f t="shared" si="21"/>
        <v>2700000</v>
      </c>
      <c r="R22" s="25">
        <f t="shared" si="22"/>
        <v>8617500.0000000019</v>
      </c>
      <c r="S22" s="15">
        <f t="shared" si="23"/>
        <v>9900000.0000000019</v>
      </c>
      <c r="T22" s="58"/>
    </row>
    <row r="23" spans="1:20" x14ac:dyDescent="0.25">
      <c r="A23" s="83">
        <v>100000000</v>
      </c>
      <c r="B23" s="5">
        <v>0.7</v>
      </c>
      <c r="C23" s="6">
        <f t="shared" si="0"/>
        <v>31499999.999999996</v>
      </c>
      <c r="D23" s="25">
        <f t="shared" si="1"/>
        <v>13500000.000000002</v>
      </c>
      <c r="E23" s="79">
        <f>(A23-F23)/A23</f>
        <v>0.1</v>
      </c>
      <c r="F23" s="22">
        <v>90000000</v>
      </c>
      <c r="G23" s="80">
        <f t="shared" si="16"/>
        <v>0.77499999999999991</v>
      </c>
      <c r="H23" s="6">
        <f>IF(G23&gt;1,F23*0.45,(F23*0.45*G23))</f>
        <v>31387499.999999996</v>
      </c>
      <c r="I23" s="6">
        <f>C23-H23</f>
        <v>112500</v>
      </c>
      <c r="J23" s="81">
        <f t="shared" si="17"/>
        <v>3.5714285714285718E-3</v>
      </c>
      <c r="K23" s="6">
        <f t="shared" si="18"/>
        <v>1890000</v>
      </c>
      <c r="L23" s="25">
        <f>+I23+K23</f>
        <v>2002500</v>
      </c>
      <c r="M23" s="28">
        <f>IF(G23&lt;1,F23*0.45*(1-G23),0)</f>
        <v>9112500.0000000037</v>
      </c>
      <c r="N23" s="28">
        <f>IF(G23&lt;1,(D23-M23),D23)</f>
        <v>4387499.9999999981</v>
      </c>
      <c r="O23" s="81">
        <f t="shared" si="19"/>
        <v>0.32499999999999984</v>
      </c>
      <c r="P23" s="6">
        <f t="shared" si="20"/>
        <v>810000</v>
      </c>
      <c r="Q23" s="6">
        <f t="shared" si="21"/>
        <v>2700000</v>
      </c>
      <c r="R23" s="25">
        <f t="shared" si="22"/>
        <v>7897499.9999999981</v>
      </c>
      <c r="S23" s="15">
        <f t="shared" si="23"/>
        <v>9899999.9999999981</v>
      </c>
      <c r="T23" s="58"/>
    </row>
    <row r="24" spans="1:20" x14ac:dyDescent="0.25">
      <c r="A24" s="83">
        <v>100000000</v>
      </c>
      <c r="B24" s="5">
        <v>0.8</v>
      </c>
      <c r="C24" s="6">
        <f t="shared" si="0"/>
        <v>36000000</v>
      </c>
      <c r="D24" s="25">
        <f t="shared" si="1"/>
        <v>8999999.9999999981</v>
      </c>
      <c r="E24" s="79">
        <f>(A24-F24)/A24</f>
        <v>0.1</v>
      </c>
      <c r="F24" s="22">
        <v>90000000</v>
      </c>
      <c r="G24" s="80">
        <f t="shared" si="16"/>
        <v>0.875</v>
      </c>
      <c r="H24" s="6">
        <f>IF(G24&gt;1,F24*0.45,(F24*0.45*G24))</f>
        <v>35437500</v>
      </c>
      <c r="I24" s="6">
        <f>C24-H24</f>
        <v>562500</v>
      </c>
      <c r="J24" s="81">
        <f t="shared" si="17"/>
        <v>1.5625E-2</v>
      </c>
      <c r="K24" s="6">
        <f t="shared" si="18"/>
        <v>2160000</v>
      </c>
      <c r="L24" s="25">
        <f>+I24+K24</f>
        <v>2722500</v>
      </c>
      <c r="M24" s="28">
        <f>IF(G24&lt;1,F24*0.45*(1-G24),0)</f>
        <v>5062500</v>
      </c>
      <c r="N24" s="28">
        <f>IF(G24&lt;1,(D24-M24),D24)</f>
        <v>3937499.9999999981</v>
      </c>
      <c r="O24" s="81">
        <f t="shared" si="19"/>
        <v>0.43749999999999989</v>
      </c>
      <c r="P24" s="6">
        <f t="shared" si="20"/>
        <v>540000</v>
      </c>
      <c r="Q24" s="6">
        <f t="shared" si="21"/>
        <v>2700000</v>
      </c>
      <c r="R24" s="25">
        <f t="shared" si="22"/>
        <v>7177499.9999999981</v>
      </c>
      <c r="S24" s="15">
        <f t="shared" si="23"/>
        <v>9899999.9999999981</v>
      </c>
      <c r="T24" s="58"/>
    </row>
    <row r="25" spans="1:20" ht="15.75" thickBot="1" x14ac:dyDescent="0.3">
      <c r="A25" s="127">
        <v>100000000</v>
      </c>
      <c r="B25" s="128">
        <v>0.9</v>
      </c>
      <c r="C25" s="129">
        <f t="shared" si="0"/>
        <v>40500000</v>
      </c>
      <c r="D25" s="130">
        <f t="shared" si="1"/>
        <v>4499999.9999999991</v>
      </c>
      <c r="E25" s="131">
        <f>(A25-F25)/A25</f>
        <v>0.1</v>
      </c>
      <c r="F25" s="135">
        <v>90000000</v>
      </c>
      <c r="G25" s="136">
        <f t="shared" si="16"/>
        <v>1</v>
      </c>
      <c r="H25" s="129">
        <f>IF(G25&gt;1,F25*0.45,(F25*0.45*G25))</f>
        <v>40500000</v>
      </c>
      <c r="I25" s="129">
        <f>C25-H25</f>
        <v>0</v>
      </c>
      <c r="J25" s="132">
        <f t="shared" si="17"/>
        <v>0</v>
      </c>
      <c r="K25" s="129">
        <f t="shared" si="18"/>
        <v>2430000</v>
      </c>
      <c r="L25" s="129">
        <f>+I25+K25</f>
        <v>2430000</v>
      </c>
      <c r="M25" s="146">
        <f>IF(G25&lt;1,F25*0.45*(1-G25),0)</f>
        <v>0</v>
      </c>
      <c r="N25" s="133">
        <f>IF(G25&lt;1,(D25-M25),D25)</f>
        <v>4499999.9999999991</v>
      </c>
      <c r="O25" s="132">
        <f t="shared" si="19"/>
        <v>1</v>
      </c>
      <c r="P25" s="129">
        <f t="shared" si="20"/>
        <v>270000</v>
      </c>
      <c r="Q25" s="129">
        <f t="shared" si="21"/>
        <v>2700000</v>
      </c>
      <c r="R25" s="130">
        <f t="shared" si="22"/>
        <v>7469999.9999999991</v>
      </c>
      <c r="S25" s="134">
        <f t="shared" si="23"/>
        <v>9900000</v>
      </c>
      <c r="T25" s="58"/>
    </row>
    <row r="26" spans="1:20" x14ac:dyDescent="0.25">
      <c r="A26" s="83"/>
      <c r="B26" s="5"/>
      <c r="C26" s="6"/>
      <c r="D26" s="6"/>
      <c r="E26" s="5"/>
      <c r="F26" s="4"/>
      <c r="G26" s="8"/>
      <c r="H26" s="6"/>
      <c r="I26" s="6"/>
      <c r="J26" s="10"/>
      <c r="K26" s="6"/>
      <c r="L26" s="6"/>
      <c r="M26" s="28"/>
      <c r="N26" s="28"/>
      <c r="O26" s="10"/>
      <c r="P26" s="6"/>
      <c r="Q26" s="6"/>
      <c r="R26" s="6"/>
      <c r="S26" s="15"/>
    </row>
    <row r="27" spans="1:20" ht="15.75" thickBot="1" x14ac:dyDescent="0.3">
      <c r="A27" s="119"/>
      <c r="B27" s="120"/>
      <c r="C27" s="120"/>
      <c r="D27" s="121"/>
      <c r="E27" s="122"/>
      <c r="F27" s="121"/>
      <c r="G27" s="121"/>
      <c r="H27" s="123"/>
      <c r="I27" s="121"/>
      <c r="J27" s="123"/>
      <c r="K27" s="124"/>
      <c r="L27" s="121"/>
      <c r="M27" s="124"/>
      <c r="N27" s="125"/>
      <c r="O27" s="123"/>
      <c r="P27" s="124"/>
      <c r="Q27" s="124"/>
      <c r="R27" s="121"/>
      <c r="S27" s="126"/>
      <c r="T27" s="2"/>
    </row>
    <row r="28" spans="1:20" ht="19.5" customHeight="1" x14ac:dyDescent="0.25">
      <c r="A28" s="109" t="s">
        <v>59</v>
      </c>
      <c r="B28" s="110"/>
      <c r="C28" s="111"/>
      <c r="D28" s="112"/>
      <c r="E28" s="112"/>
      <c r="F28" s="113"/>
      <c r="G28" s="114"/>
      <c r="H28" s="111"/>
      <c r="I28" s="115"/>
      <c r="J28" s="116"/>
      <c r="K28" s="111" t="s">
        <v>57</v>
      </c>
      <c r="L28" s="115"/>
      <c r="M28" s="117"/>
      <c r="N28" s="118"/>
      <c r="O28" s="111"/>
      <c r="P28" s="111"/>
      <c r="Q28" s="115"/>
      <c r="R28" s="13"/>
      <c r="S28" s="116"/>
    </row>
    <row r="29" spans="1:20" ht="18" customHeight="1" thickBot="1" x14ac:dyDescent="0.3">
      <c r="A29" s="76">
        <v>56000000</v>
      </c>
      <c r="B29" s="9">
        <v>0.65</v>
      </c>
      <c r="C29" s="73">
        <f>+B29*(A29*0.45)</f>
        <v>16380000</v>
      </c>
      <c r="D29" s="155">
        <f>(1-B29)*(A29*0.45)</f>
        <v>8820000</v>
      </c>
      <c r="E29" s="153">
        <v>0.01</v>
      </c>
      <c r="F29" s="150">
        <v>55440000</v>
      </c>
      <c r="G29" s="8">
        <f>+B29+(E29*0.75)</f>
        <v>0.65749999999999997</v>
      </c>
      <c r="H29" s="73">
        <f>(+F29*0.45)*G29</f>
        <v>16403310</v>
      </c>
      <c r="I29" s="6">
        <f>+C29-H29</f>
        <v>-23310</v>
      </c>
      <c r="J29" s="20">
        <f>I29/A29</f>
        <v>-4.1625000000000001E-4</v>
      </c>
      <c r="K29" s="129">
        <f t="shared" ref="K29:K31" si="24">(0.02*(0.45*A29)*30*B29)-(0.02*(0.45*F29)*30*B29)</f>
        <v>98280</v>
      </c>
      <c r="L29" s="147">
        <f>+I29+K29</f>
        <v>74970</v>
      </c>
      <c r="M29" s="28">
        <f>+IF(G29&gt;1,0,(1-G29)*(F29*0.45))</f>
        <v>8544690</v>
      </c>
      <c r="N29" s="28">
        <f>IF(G29&lt;1,(D29-M29), (D29+(M29*-1)))</f>
        <v>275310</v>
      </c>
      <c r="O29" s="138">
        <f t="shared" ref="O29:O31" si="25">N29/D29</f>
        <v>3.1214285714285715E-2</v>
      </c>
      <c r="P29" s="137">
        <f t="shared" ref="P29:P31" si="26">(0.02*(0.45*A29)*30*(1-B29))-(0.02*(0.45*F29)*30*(1-B29))</f>
        <v>52920</v>
      </c>
      <c r="Q29" s="137">
        <f t="shared" ref="Q29:Q31" si="27">(0.02*(0.45*A29)*30)-(0.02*(0.45*F29)*30)</f>
        <v>151200</v>
      </c>
      <c r="R29" s="139">
        <f t="shared" ref="R29:R31" si="28">N29+P29+Q29</f>
        <v>479430</v>
      </c>
      <c r="S29" s="140">
        <f t="shared" ref="S29:S31" si="29">L29+R29</f>
        <v>554400</v>
      </c>
    </row>
    <row r="30" spans="1:20" ht="18" customHeight="1" thickBot="1" x14ac:dyDescent="0.3">
      <c r="A30" s="76">
        <v>56000000</v>
      </c>
      <c r="B30" s="9">
        <v>0.65</v>
      </c>
      <c r="C30" s="73">
        <f>+B30*(A30*0.45)</f>
        <v>16380000</v>
      </c>
      <c r="D30" s="156">
        <f>(1-B30)*(A30*0.45)</f>
        <v>8820000</v>
      </c>
      <c r="E30" s="153">
        <v>0.1</v>
      </c>
      <c r="F30" s="151">
        <v>50400000</v>
      </c>
      <c r="G30" s="8">
        <f>+B30+(E30*0.75)</f>
        <v>0.72500000000000009</v>
      </c>
      <c r="H30" s="73">
        <f>(+F30*0.45)*G30</f>
        <v>16443000.000000002</v>
      </c>
      <c r="I30" s="4">
        <f>+C30-H30</f>
        <v>-63000.000000001863</v>
      </c>
      <c r="J30" s="21">
        <f>I30/A30</f>
        <v>-1.1250000000000333E-3</v>
      </c>
      <c r="K30" s="129">
        <f t="shared" si="24"/>
        <v>982800</v>
      </c>
      <c r="L30" s="148">
        <f>+I30+K30</f>
        <v>919799.99999999814</v>
      </c>
      <c r="M30" s="28">
        <f>+IF(G30&gt;1,0,(1-G30)*(F30*0.45))</f>
        <v>6236999.9999999981</v>
      </c>
      <c r="N30" s="28">
        <f>IF(G30&lt;1,(D30-M30), (D30+(M30*-1)))</f>
        <v>2583000.0000000019</v>
      </c>
      <c r="O30" s="20">
        <f t="shared" si="25"/>
        <v>0.29285714285714309</v>
      </c>
      <c r="P30" s="78">
        <f t="shared" si="26"/>
        <v>529200</v>
      </c>
      <c r="Q30" s="78">
        <f t="shared" si="27"/>
        <v>1512000</v>
      </c>
      <c r="R30" s="141">
        <f t="shared" si="28"/>
        <v>4624200.0000000019</v>
      </c>
      <c r="S30" s="142">
        <f t="shared" si="29"/>
        <v>5544000</v>
      </c>
    </row>
    <row r="31" spans="1:20" ht="15.75" thickBot="1" x14ac:dyDescent="0.3">
      <c r="A31" s="76">
        <v>56000000</v>
      </c>
      <c r="B31" s="12">
        <v>0.77</v>
      </c>
      <c r="C31" s="74">
        <f>+B31*(A31*0.45)</f>
        <v>19404000</v>
      </c>
      <c r="D31" s="157">
        <f>(1-B31)*(A31*0.45)</f>
        <v>5796000</v>
      </c>
      <c r="E31" s="154">
        <v>0.1</v>
      </c>
      <c r="F31" s="152">
        <v>50400000</v>
      </c>
      <c r="G31" s="14">
        <f>+B31+(E31*0.75)</f>
        <v>0.84499999999999997</v>
      </c>
      <c r="H31" s="74">
        <f>(+F31*0.45)*G31</f>
        <v>19164600</v>
      </c>
      <c r="I31" s="11">
        <f>+C31-H31</f>
        <v>239400</v>
      </c>
      <c r="J31" s="29">
        <f>I31/A31</f>
        <v>4.2750000000000002E-3</v>
      </c>
      <c r="K31" s="129">
        <f t="shared" si="24"/>
        <v>1164240</v>
      </c>
      <c r="L31" s="149">
        <f>+I31+K31</f>
        <v>1403640</v>
      </c>
      <c r="M31" s="30">
        <f>+IF(G31&gt;1,0,(1-G31)*(F31*0.45))</f>
        <v>3515400.0000000005</v>
      </c>
      <c r="N31" s="30">
        <f>IF(G31&lt;1,(D31-M31), (D31+(M31*-1)))</f>
        <v>2280599.9999999995</v>
      </c>
      <c r="O31" s="82">
        <f t="shared" si="25"/>
        <v>0.39347826086956511</v>
      </c>
      <c r="P31" s="45">
        <f t="shared" si="26"/>
        <v>347760</v>
      </c>
      <c r="Q31" s="45">
        <f t="shared" si="27"/>
        <v>1512000</v>
      </c>
      <c r="R31" s="143">
        <f t="shared" si="28"/>
        <v>4140359.9999999995</v>
      </c>
      <c r="S31" s="144">
        <f t="shared" si="29"/>
        <v>5544000</v>
      </c>
    </row>
    <row r="32" spans="1:20" ht="10.5" customHeight="1" x14ac:dyDescent="0.25">
      <c r="A32" s="34"/>
      <c r="B32" s="2"/>
      <c r="C32" s="2"/>
      <c r="D32" s="17"/>
      <c r="E32" s="61"/>
      <c r="F32" s="2"/>
      <c r="G32" s="2"/>
      <c r="H32" s="2"/>
      <c r="I32" s="2"/>
      <c r="J32" s="2"/>
      <c r="K32" s="17"/>
      <c r="L32" s="2"/>
      <c r="M32" s="17"/>
      <c r="N32" s="17"/>
      <c r="O32" s="2"/>
      <c r="P32" s="17"/>
      <c r="Q32" s="2"/>
      <c r="R32" s="2"/>
      <c r="S32" s="18"/>
    </row>
    <row r="33" spans="1:21" ht="12.75" customHeight="1" thickBot="1" x14ac:dyDescent="0.3">
      <c r="A33" s="210" t="s">
        <v>56</v>
      </c>
      <c r="B33" s="210"/>
      <c r="C33" s="211">
        <v>56000000000</v>
      </c>
      <c r="D33" s="211"/>
      <c r="E33" s="62" t="s">
        <v>58</v>
      </c>
      <c r="F33" s="59"/>
      <c r="G33" s="38"/>
      <c r="H33" s="39"/>
      <c r="I33" s="60"/>
      <c r="J33" s="60"/>
      <c r="K33" s="36"/>
      <c r="L33" s="36"/>
      <c r="M33" s="60"/>
      <c r="N33" s="60"/>
      <c r="O33" s="60"/>
      <c r="P33" s="36"/>
      <c r="Q33" s="36"/>
      <c r="R33" s="36"/>
      <c r="S33" s="37"/>
    </row>
    <row r="34" spans="1:21" s="1" customFormat="1" ht="12.75" customHeight="1" x14ac:dyDescent="0.25">
      <c r="A34" s="75"/>
      <c r="B34" s="40"/>
      <c r="C34" s="40"/>
      <c r="D34" s="40"/>
      <c r="E34" s="145"/>
      <c r="F34" s="40"/>
      <c r="G34" s="41"/>
      <c r="H34" s="41"/>
      <c r="I34" s="41"/>
      <c r="J34" s="41"/>
      <c r="K34" s="42"/>
      <c r="L34" s="42"/>
      <c r="M34" s="41"/>
      <c r="N34" s="40"/>
      <c r="O34" s="41"/>
      <c r="P34" s="42"/>
      <c r="Q34" s="42"/>
      <c r="R34" s="42"/>
      <c r="S34" s="171"/>
      <c r="T34" s="42"/>
    </row>
    <row r="35" spans="1:21" ht="11.25" customHeight="1" thickBot="1" x14ac:dyDescent="0.3">
      <c r="A35" s="173"/>
      <c r="B35" s="36"/>
      <c r="C35" s="36"/>
      <c r="D35" s="36"/>
      <c r="E35" s="63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7"/>
      <c r="T35" s="2"/>
    </row>
    <row r="36" spans="1:21" ht="15.75" x14ac:dyDescent="0.25">
      <c r="A36" s="109" t="s">
        <v>63</v>
      </c>
      <c r="B36" s="13"/>
      <c r="C36" s="13"/>
      <c r="D36" s="13"/>
      <c r="F36" s="13"/>
      <c r="G36" s="13"/>
      <c r="H36" s="13"/>
      <c r="I36" s="13"/>
      <c r="J36" s="2"/>
      <c r="K36" s="2"/>
      <c r="L36" s="34"/>
      <c r="S36" s="3"/>
    </row>
    <row r="37" spans="1:21" ht="45" customHeight="1" x14ac:dyDescent="0.25">
      <c r="A37" s="43" t="s">
        <v>60</v>
      </c>
      <c r="B37" s="160" t="s">
        <v>66</v>
      </c>
      <c r="C37" s="212" t="s">
        <v>65</v>
      </c>
      <c r="D37" s="213"/>
      <c r="E37" s="160" t="s">
        <v>64</v>
      </c>
      <c r="F37" s="43" t="s">
        <v>62</v>
      </c>
      <c r="G37" s="214" t="s">
        <v>67</v>
      </c>
      <c r="H37" s="215"/>
      <c r="I37" s="176"/>
      <c r="J37" s="216"/>
      <c r="K37" s="217"/>
      <c r="L37" s="2"/>
      <c r="N37" s="2"/>
      <c r="O37" s="2"/>
      <c r="S37" s="3"/>
    </row>
    <row r="38" spans="1:21" ht="15" customHeight="1" x14ac:dyDescent="0.25">
      <c r="A38" s="163">
        <v>0.65</v>
      </c>
      <c r="B38" s="77">
        <v>0.01</v>
      </c>
      <c r="C38" s="218">
        <f>+S29*1000</f>
        <v>554400000</v>
      </c>
      <c r="D38" s="219"/>
      <c r="E38" s="158">
        <v>0.04</v>
      </c>
      <c r="F38" s="161">
        <v>30</v>
      </c>
      <c r="G38" s="220">
        <f>+C38*((1+E38)^F38)</f>
        <v>1798139579.5592694</v>
      </c>
      <c r="H38" s="218"/>
      <c r="I38" s="183"/>
      <c r="J38" s="221"/>
      <c r="K38" s="222"/>
      <c r="L38" s="2"/>
      <c r="S38" s="3"/>
      <c r="U38" s="1"/>
    </row>
    <row r="39" spans="1:21" ht="15" customHeight="1" x14ac:dyDescent="0.25">
      <c r="A39" s="164">
        <v>0.65</v>
      </c>
      <c r="B39" s="153">
        <v>0.1</v>
      </c>
      <c r="C39" s="223">
        <f t="shared" ref="C39:C40" si="30">+S30*1000</f>
        <v>5544000000</v>
      </c>
      <c r="D39" s="224"/>
      <c r="E39" s="159">
        <v>0.04</v>
      </c>
      <c r="F39" s="162">
        <v>30</v>
      </c>
      <c r="G39" s="225">
        <f t="shared" ref="G39:G40" si="31">+C39*((1+E39)^F39)</f>
        <v>17981395795.592693</v>
      </c>
      <c r="H39" s="223"/>
      <c r="I39" s="181"/>
      <c r="J39" s="226"/>
      <c r="K39" s="227"/>
      <c r="L39" s="2"/>
      <c r="S39" s="3"/>
      <c r="U39" s="1"/>
    </row>
    <row r="40" spans="1:21" ht="15.75" thickBot="1" x14ac:dyDescent="0.3">
      <c r="A40" s="169">
        <v>0.77</v>
      </c>
      <c r="B40" s="170">
        <v>0.1</v>
      </c>
      <c r="C40" s="187">
        <f t="shared" si="30"/>
        <v>5544000000</v>
      </c>
      <c r="D40" s="188"/>
      <c r="E40" s="167">
        <v>0.04</v>
      </c>
      <c r="F40" s="168">
        <v>30</v>
      </c>
      <c r="G40" s="187">
        <f t="shared" si="31"/>
        <v>17981395795.592693</v>
      </c>
      <c r="H40" s="189"/>
      <c r="I40" s="182"/>
      <c r="J40" s="190"/>
      <c r="K40" s="191"/>
      <c r="L40" s="165"/>
      <c r="M40" s="166"/>
      <c r="N40" s="166"/>
      <c r="O40" s="166"/>
      <c r="P40" s="166"/>
      <c r="Q40" s="166"/>
      <c r="R40" s="166"/>
      <c r="S40" s="172"/>
    </row>
    <row r="41" spans="1:21" ht="15.75" thickTop="1" x14ac:dyDescent="0.25"/>
    <row r="45" spans="1:21" x14ac:dyDescent="0.25">
      <c r="C45" s="2"/>
    </row>
  </sheetData>
  <mergeCells count="22">
    <mergeCell ref="C40:D40"/>
    <mergeCell ref="G40:H40"/>
    <mergeCell ref="J40:K40"/>
    <mergeCell ref="C38:D38"/>
    <mergeCell ref="G38:H38"/>
    <mergeCell ref="J38:K38"/>
    <mergeCell ref="C39:D39"/>
    <mergeCell ref="G39:H39"/>
    <mergeCell ref="J39:K39"/>
    <mergeCell ref="A33:B33"/>
    <mergeCell ref="C33:D33"/>
    <mergeCell ref="C37:D37"/>
    <mergeCell ref="G37:H37"/>
    <mergeCell ref="J37:K37"/>
    <mergeCell ref="B1:S1"/>
    <mergeCell ref="A2:S2"/>
    <mergeCell ref="A4:D4"/>
    <mergeCell ref="E4:R4"/>
    <mergeCell ref="A6:D6"/>
    <mergeCell ref="E6:F6"/>
    <mergeCell ref="G6:L6"/>
    <mergeCell ref="M6:R6"/>
  </mergeCells>
  <pageMargins left="0.25" right="0.25" top="0.75" bottom="0.75" header="0.3" footer="0.3"/>
  <pageSetup paperSize="17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Scenario A</vt:lpstr>
      <vt:lpstr>Scenario B</vt:lpstr>
      <vt:lpstr>Scenario C</vt:lpstr>
      <vt:lpstr>Scenario 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Donahue;Bob G.</dc:creator>
  <cp:lastModifiedBy>Windows User</cp:lastModifiedBy>
  <cp:lastPrinted>2019-04-08T14:33:06Z</cp:lastPrinted>
  <dcterms:created xsi:type="dcterms:W3CDTF">2019-03-26T20:19:14Z</dcterms:created>
  <dcterms:modified xsi:type="dcterms:W3CDTF">2019-10-01T19:39:55Z</dcterms:modified>
</cp:coreProperties>
</file>